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/Users/vsrin/Downloads/"/>
    </mc:Choice>
  </mc:AlternateContent>
  <xr:revisionPtr revIDLastSave="45" documentId="13_ncr:1_{8F0FB464-4327-6647-9E1A-1899813C0FD5}" xr6:coauthVersionLast="47" xr6:coauthVersionMax="47" xr10:uidLastSave="{57FD04F9-7430-437B-BD2D-0B8FBD68A2F9}"/>
  <bookViews>
    <workbookView xWindow="0" yWindow="760" windowWidth="29400" windowHeight="17060" tabRatio="500" firstSheet="1" activeTab="1" xr2:uid="{00000000-000D-0000-FFFF-FFFF00000000}"/>
  </bookViews>
  <sheets>
    <sheet name="📝 Entry Form" sheetId="1" r:id="rId1"/>
    <sheet name="🔥 Active Pipeline" sheetId="2" r:id="rId2"/>
    <sheet name="📋 Contact Master" sheetId="3" r:id="rId3"/>
    <sheet name="📊 Dashboard" sheetId="4" r:id="rId4"/>
    <sheet name="📖 How To Use" sheetId="5" r:id="rId5"/>
  </sheets>
  <definedNames>
    <definedName name="_xlnm._FilterDatabase" localSheetId="2" hidden="1">'📋 Contact Master'!$A$4:$L$74</definedName>
    <definedName name="_xlnm._FilterDatabase" localSheetId="1" hidden="1">'🔥 Active Pipeline'!$A$4:$R$26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4" l="1"/>
  <c r="D22" i="4"/>
  <c r="C22" i="4"/>
  <c r="E21" i="4"/>
  <c r="D21" i="4"/>
  <c r="C21" i="4"/>
  <c r="E20" i="4"/>
  <c r="D20" i="4"/>
  <c r="C20" i="4"/>
  <c r="E19" i="4"/>
  <c r="D19" i="4"/>
  <c r="C19" i="4"/>
  <c r="C14" i="4"/>
  <c r="D14" i="4" s="1"/>
  <c r="B14" i="4"/>
  <c r="C13" i="4"/>
  <c r="D13" i="4" s="1"/>
  <c r="B13" i="4"/>
  <c r="C12" i="4"/>
  <c r="D12" i="4" s="1"/>
  <c r="B12" i="4"/>
  <c r="C11" i="4"/>
  <c r="D11" i="4" s="1"/>
  <c r="B11" i="4"/>
  <c r="C10" i="4"/>
  <c r="D10" i="4" s="1"/>
  <c r="B10" i="4"/>
  <c r="C9" i="4"/>
  <c r="D9" i="4" s="1"/>
  <c r="B9" i="4"/>
  <c r="C8" i="4"/>
  <c r="D8" i="4" s="1"/>
  <c r="B8" i="4"/>
  <c r="C7" i="4"/>
  <c r="B7" i="4"/>
  <c r="B15" i="4" s="1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J62" i="1"/>
  <c r="H62" i="1"/>
  <c r="E62" i="1"/>
  <c r="B62" i="1"/>
  <c r="L10" i="1"/>
  <c r="F10" i="1" s="1"/>
  <c r="C15" i="4" l="1"/>
  <c r="D7" i="4"/>
  <c r="E8" i="4"/>
  <c r="E10" i="4"/>
  <c r="E12" i="4"/>
  <c r="E11" i="4"/>
  <c r="F28" i="1"/>
  <c r="D33" i="1" s="1"/>
  <c r="G10" i="1"/>
  <c r="L11" i="1"/>
  <c r="H10" i="1"/>
  <c r="B10" i="1"/>
  <c r="C10" i="1"/>
  <c r="D10" i="1"/>
  <c r="D15" i="4"/>
  <c r="E7" i="4"/>
  <c r="E9" i="4"/>
  <c r="E13" i="4"/>
  <c r="E14" i="4"/>
  <c r="D35" i="1"/>
  <c r="D45" i="1" s="1"/>
  <c r="D34" i="1" l="1"/>
  <c r="D36" i="1"/>
  <c r="D39" i="1"/>
  <c r="D38" i="1"/>
  <c r="D40" i="1"/>
  <c r="D29" i="1"/>
  <c r="D37" i="1"/>
  <c r="G11" i="1"/>
  <c r="H11" i="1"/>
  <c r="F11" i="1"/>
  <c r="D11" i="1"/>
  <c r="L12" i="1"/>
  <c r="C11" i="1"/>
  <c r="B11" i="1"/>
  <c r="D51" i="1"/>
  <c r="J50" i="1"/>
  <c r="D50" i="1"/>
  <c r="D49" i="1"/>
  <c r="D53" i="1"/>
  <c r="J48" i="1"/>
  <c r="J52" i="1"/>
  <c r="D48" i="1"/>
  <c r="D52" i="1"/>
  <c r="D47" i="1"/>
  <c r="J49" i="1"/>
  <c r="H12" i="1" l="1"/>
  <c r="L13" i="1"/>
  <c r="F12" i="1"/>
  <c r="D12" i="1"/>
  <c r="C12" i="1"/>
  <c r="B12" i="1"/>
  <c r="G12" i="1"/>
  <c r="F13" i="1" l="1"/>
  <c r="H13" i="1"/>
  <c r="G13" i="1"/>
  <c r="L14" i="1"/>
  <c r="B13" i="1"/>
  <c r="D13" i="1"/>
  <c r="C13" i="1"/>
  <c r="D14" i="1" l="1"/>
  <c r="L15" i="1"/>
  <c r="H14" i="1"/>
  <c r="G14" i="1"/>
  <c r="F14" i="1"/>
  <c r="B14" i="1"/>
  <c r="C14" i="1"/>
  <c r="B15" i="1" l="1"/>
  <c r="H15" i="1"/>
  <c r="G15" i="1"/>
  <c r="L16" i="1"/>
  <c r="D15" i="1"/>
  <c r="F15" i="1"/>
  <c r="C15" i="1"/>
  <c r="C16" i="1" l="1"/>
  <c r="L17" i="1"/>
  <c r="H16" i="1"/>
  <c r="F16" i="1"/>
  <c r="B16" i="1"/>
  <c r="D16" i="1"/>
  <c r="G16" i="1"/>
  <c r="D17" i="1" l="1"/>
  <c r="L18" i="1"/>
  <c r="H17" i="1"/>
  <c r="F17" i="1"/>
  <c r="B17" i="1"/>
  <c r="G17" i="1"/>
  <c r="C17" i="1"/>
  <c r="F18" i="1" l="1"/>
  <c r="H18" i="1"/>
  <c r="G18" i="1"/>
  <c r="D18" i="1"/>
  <c r="L19" i="1"/>
  <c r="B18" i="1"/>
  <c r="C18" i="1"/>
  <c r="G19" i="1" l="1"/>
  <c r="H19" i="1"/>
  <c r="L20" i="1"/>
  <c r="D19" i="1"/>
  <c r="C19" i="1"/>
  <c r="B19" i="1"/>
  <c r="F19" i="1"/>
  <c r="H20" i="1" l="1"/>
  <c r="F20" i="1"/>
  <c r="D20" i="1"/>
  <c r="C20" i="1"/>
  <c r="L21" i="1"/>
  <c r="B20" i="1"/>
  <c r="G20" i="1"/>
  <c r="C21" i="1" l="1"/>
  <c r="G21" i="1"/>
  <c r="F21" i="1"/>
  <c r="D21" i="1"/>
  <c r="L22" i="1"/>
  <c r="B21" i="1"/>
  <c r="H21" i="1"/>
  <c r="D22" i="1" l="1"/>
  <c r="L23" i="1"/>
  <c r="H22" i="1"/>
  <c r="B22" i="1"/>
  <c r="G22" i="1"/>
  <c r="C22" i="1"/>
  <c r="F22" i="1"/>
  <c r="B23" i="1" l="1"/>
  <c r="L24" i="1"/>
  <c r="G23" i="1"/>
  <c r="H23" i="1"/>
  <c r="C23" i="1"/>
  <c r="D23" i="1"/>
  <c r="F23" i="1"/>
  <c r="C24" i="1" l="1"/>
  <c r="H24" i="1"/>
  <c r="D24" i="1"/>
  <c r="F24" i="1"/>
  <c r="G24" i="1"/>
  <c r="B24" i="1"/>
</calcChain>
</file>

<file path=xl/sharedStrings.xml><?xml version="1.0" encoding="utf-8"?>
<sst xmlns="http://schemas.openxmlformats.org/spreadsheetml/2006/main" count="1198" uniqueCount="599">
  <si>
    <t>⚡  ElevateNow  ·  Pipeline Entry &amp; Contact Management</t>
  </si>
  <si>
    <t>Single entry point for contacts and pipeline  |  March 11, 2026</t>
  </si>
  <si>
    <t xml:space="preserve">  STEP 1 — SEARCH  (type a name or company in the yellow cell below)</t>
  </si>
  <si>
    <t>🔍  Search:</t>
  </si>
  <si>
    <t>hanover</t>
  </si>
  <si>
    <t>← Type here. Results appear instantly below ↓</t>
  </si>
  <si>
    <t>CM Row</t>
  </si>
  <si>
    <t>Pick #</t>
  </si>
  <si>
    <t>First Name</t>
  </si>
  <si>
    <t>Last Name</t>
  </si>
  <si>
    <t>Company</t>
  </si>
  <si>
    <t>Title</t>
  </si>
  <si>
    <t xml:space="preserve">  ↑ Results appear as you type.  Type the PICK # (orange column) into the SELECT box below → fields auto-fill instantly.</t>
  </si>
  <si>
    <t>SELECT RESULT #</t>
  </si>
  <si>
    <t>← Type 1 for first result, 2 for second, etc.  |  Leave blank to ADD NEW contact</t>
  </si>
  <si>
    <t xml:space="preserve">  STEP 2 — CONTACT DETAILS  (auto-filled — no typing needed once you select a result above)</t>
  </si>
  <si>
    <t>Title / Role</t>
  </si>
  <si>
    <t>Email</t>
  </si>
  <si>
    <t>LinkedIn</t>
  </si>
  <si>
    <t>Geography</t>
  </si>
  <si>
    <t>Contact Type</t>
  </si>
  <si>
    <t xml:space="preserve">  STEP 3 — PIPELINE OPPORTUNITY  (auto-filled from Active Pipeline when company matches)</t>
  </si>
  <si>
    <t>Pipeline Row #</t>
  </si>
  <si>
    <t>← auto-detected from Company in Active Pipeline</t>
  </si>
  <si>
    <t>Account Name</t>
  </si>
  <si>
    <t>Opportunity Type</t>
  </si>
  <si>
    <t>Pipeline Stage</t>
  </si>
  <si>
    <t>Opp Value ($)</t>
  </si>
  <si>
    <t>Owner</t>
  </si>
  <si>
    <t>Priority</t>
  </si>
  <si>
    <t>LOB / Focus</t>
  </si>
  <si>
    <t>Next Action</t>
  </si>
  <si>
    <t>Next Action Date</t>
  </si>
  <si>
    <t>Last Touch Date</t>
  </si>
  <si>
    <t>Notes</t>
  </si>
  <si>
    <t>💾  SAVE TO PIPELINE</t>
  </si>
  <si>
    <t>👤  ADD NEW</t>
  </si>
  <si>
    <t>🔄  UPDATE</t>
  </si>
  <si>
    <t>🗑  CLEAR</t>
  </si>
  <si>
    <t>Use Ctrl+S or run macro SaveToPipeline</t>
  </si>
  <si>
    <t>Type new contact above, run macro AddNewContact</t>
  </si>
  <si>
    <t>Updates existing row in pipeline from form data</t>
  </si>
  <si>
    <t>Clears the selection and form fields</t>
  </si>
  <si>
    <t xml:space="preserve">  PIPELINE SNAPSHOT  (live — updates automatically from Active Pipeline sheet)</t>
  </si>
  <si>
    <t>Total Active</t>
  </si>
  <si>
    <t>🔴 High Priority</t>
  </si>
  <si>
    <t>Meetings Booked</t>
  </si>
  <si>
    <t>Negotiating</t>
  </si>
  <si>
    <t xml:space="preserve">  💡  HOW TO USE:  ① Type name or company in yellow box  →  ② See orange PICK # next to your match  →  ③ Type that number in the orange SELECT box  →  ④ Steps 2 &amp; 3 fill automatically</t>
  </si>
  <si>
    <t>⚡  ElevateNow · Artifi Platform — Active Sales Pipeline</t>
  </si>
  <si>
    <t>Account</t>
  </si>
  <si>
    <t>Contact Name</t>
  </si>
  <si>
    <t>Opp Type</t>
  </si>
  <si>
    <t>Stage %</t>
  </si>
  <si>
    <t>ElevateNow Owner</t>
  </si>
  <si>
    <t>Customer PoC</t>
  </si>
  <si>
    <t>Lead Source</t>
  </si>
  <si>
    <t>Warm/Cold</t>
  </si>
  <si>
    <t>LOB / Product Focus</t>
  </si>
  <si>
    <t>Linked Contact</t>
  </si>
  <si>
    <t>AIG</t>
  </si>
  <si>
    <t>Jim Young</t>
  </si>
  <si>
    <t>CDO</t>
  </si>
  <si>
    <t>Platform + Services</t>
  </si>
  <si>
    <t>Meeting Booked</t>
  </si>
  <si>
    <t>30%</t>
  </si>
  <si>
    <t>VS</t>
  </si>
  <si>
    <t>Finalize CDO positioning deck — governance-first</t>
  </si>
  <si>
    <t>2026-03-15</t>
  </si>
  <si>
    <t>2026-03-10</t>
  </si>
  <si>
    <t>Warm Intro</t>
  </si>
  <si>
    <t>Warm - Personal</t>
  </si>
  <si>
    <t>Commercial Lines / MDM</t>
  </si>
  <si>
    <t>🔴 High</t>
  </si>
  <si>
    <t>CDO meeting imminent. Position as data services, not Palantir competitor.</t>
  </si>
  <si>
    <t>Snowflake</t>
  </si>
  <si>
    <t>Chirag</t>
  </si>
  <si>
    <t>Partner Executive</t>
  </si>
  <si>
    <t>ServiceNow Channel</t>
  </si>
  <si>
    <t>Closed Lost</t>
  </si>
  <si>
    <t>75%</t>
  </si>
  <si>
    <t>RS</t>
  </si>
  <si>
    <t>Finalize Marketplace app publish agreement</t>
  </si>
  <si>
    <t>2026-03-22</t>
  </si>
  <si>
    <t>2026-03-09</t>
  </si>
  <si>
    <t>Channel Partner</t>
  </si>
  <si>
    <t>Warm - Network</t>
  </si>
  <si>
    <t>Marketplace / App</t>
  </si>
  <si>
    <t>SNOW Marketplace app publish. High probability.</t>
  </si>
  <si>
    <t>UNUM</t>
  </si>
  <si>
    <t>Preetha Sekharan</t>
  </si>
  <si>
    <t>VP Innovation</t>
  </si>
  <si>
    <t>Outreach Initiated</t>
  </si>
  <si>
    <t>15%</t>
  </si>
  <si>
    <t>VS+BK+SJ</t>
  </si>
  <si>
    <t>Preetha</t>
  </si>
  <si>
    <t>BK to set intro via Sheila</t>
  </si>
  <si>
    <t>2026-03-18</t>
  </si>
  <si>
    <t>2026-03-08</t>
  </si>
  <si>
    <t>Personal Network</t>
  </si>
  <si>
    <t>Innovation / AI</t>
  </si>
  <si>
    <t>Intro to Sheila — Bhaskar to set.</t>
  </si>
  <si>
    <t>Zurich</t>
  </si>
  <si>
    <t>Nandini</t>
  </si>
  <si>
    <t>Senior Executive</t>
  </si>
  <si>
    <t>Expert Services</t>
  </si>
  <si>
    <t>BK+SJ</t>
  </si>
  <si>
    <t>BK, SJ to meet in LA</t>
  </si>
  <si>
    <t>2026-03-25</t>
  </si>
  <si>
    <t>2026-03-07</t>
  </si>
  <si>
    <t>TBD</t>
  </si>
  <si>
    <t>BK, SJ to meet in LA.</t>
  </si>
  <si>
    <t>Aflac</t>
  </si>
  <si>
    <t>Matt</t>
  </si>
  <si>
    <t>Executive</t>
  </si>
  <si>
    <t>BK to finalize meeting this week</t>
  </si>
  <si>
    <t>2026-03-14</t>
  </si>
  <si>
    <t>MDM / Data</t>
  </si>
  <si>
    <t>MDM consulting opportunity.</t>
  </si>
  <si>
    <t>Sunlife</t>
  </si>
  <si>
    <t>Dave Kierstead</t>
  </si>
  <si>
    <t>CDAO</t>
  </si>
  <si>
    <t>Platform (Artifi)</t>
  </si>
  <si>
    <t>Meeting rescheduled — confirm new date</t>
  </si>
  <si>
    <t>Event - ITC</t>
  </si>
  <si>
    <t>Data / Analytics</t>
  </si>
  <si>
    <t>Meeting moved from 18th March.</t>
  </si>
  <si>
    <t>FM Global</t>
  </si>
  <si>
    <t>Marty Semararo</t>
  </si>
  <si>
    <t>Marty</t>
  </si>
  <si>
    <t>BK / SJ to approach</t>
  </si>
  <si>
    <t>2026-03-28</t>
  </si>
  <si>
    <t>2026-03-01</t>
  </si>
  <si>
    <t>Operations</t>
  </si>
  <si>
    <t>🟡 Medium</t>
  </si>
  <si>
    <t>High chance.</t>
  </si>
  <si>
    <t>Srini Krishnamurthy</t>
  </si>
  <si>
    <t>CIO</t>
  </si>
  <si>
    <t>Identified</t>
  </si>
  <si>
    <t>5%</t>
  </si>
  <si>
    <t>VS+SJ</t>
  </si>
  <si>
    <t>SJ / VS to advise on approach</t>
  </si>
  <si>
    <t>2026-04-05</t>
  </si>
  <si>
    <t>2026-02-28</t>
  </si>
  <si>
    <t>Data Platform / AI</t>
  </si>
  <si>
    <t>CIO level opportunity.</t>
  </si>
  <si>
    <t>Farmers Insurance</t>
  </si>
  <si>
    <t>Drew Woods</t>
  </si>
  <si>
    <t>SJ to approach — meet in LA</t>
  </si>
  <si>
    <t>2026-03-05</t>
  </si>
  <si>
    <t>Consulting</t>
  </si>
  <si>
    <t>Combined LA trip with Zurich.</t>
  </si>
  <si>
    <t>The Hartford</t>
  </si>
  <si>
    <t>Giri P</t>
  </si>
  <si>
    <t>VS+BK</t>
  </si>
  <si>
    <t>Schedule intro meeting</t>
  </si>
  <si>
    <t>2026-03-20</t>
  </si>
  <si>
    <t>High potential.</t>
  </si>
  <si>
    <t>Great American</t>
  </si>
  <si>
    <t>Brad Yarnall</t>
  </si>
  <si>
    <t>SVP Technology</t>
  </si>
  <si>
    <t>Raj to ask for intro</t>
  </si>
  <si>
    <t>2026-04-01</t>
  </si>
  <si>
    <t>Technology / Underwriting</t>
  </si>
  <si>
    <t>SVP Tech.</t>
  </si>
  <si>
    <t>Verisk</t>
  </si>
  <si>
    <t>Louis D</t>
  </si>
  <si>
    <t>BK</t>
  </si>
  <si>
    <t>Ask Arlind to set intro meeting</t>
  </si>
  <si>
    <t>2026-03-06</t>
  </si>
  <si>
    <t>Analytics / Data</t>
  </si>
  <si>
    <t>Arlind to facilitate.</t>
  </si>
  <si>
    <t>CSAA</t>
  </si>
  <si>
    <t>Bipin Chadha</t>
  </si>
  <si>
    <t>BK to set meeting</t>
  </si>
  <si>
    <t>Data / AI</t>
  </si>
  <si>
    <t>CDAO level.</t>
  </si>
  <si>
    <t>Gallagher</t>
  </si>
  <si>
    <t>Stewart Murchie</t>
  </si>
  <si>
    <t>VP Global Ops</t>
  </si>
  <si>
    <t>Leverage Ex-Travelers connection</t>
  </si>
  <si>
    <t>2026-04-15</t>
  </si>
  <si>
    <t>2026-02-20</t>
  </si>
  <si>
    <t>Ex-Travelers Network</t>
  </si>
  <si>
    <t>Ex-Travelers</t>
  </si>
  <si>
    <t>Operations / Consulting</t>
  </si>
  <si>
    <t>Ex-Travelers connection.</t>
  </si>
  <si>
    <t>IFG Companies</t>
  </si>
  <si>
    <t>Murad</t>
  </si>
  <si>
    <t>Discovery Complete</t>
  </si>
  <si>
    <t>45%</t>
  </si>
  <si>
    <t>Follow up on feedback via Raghu</t>
  </si>
  <si>
    <t>Data Platform</t>
  </si>
  <si>
    <t>Feedback via Raghu.</t>
  </si>
  <si>
    <t>NY Life</t>
  </si>
  <si>
    <t>Boris Simanovich</t>
  </si>
  <si>
    <t>CVP AI ML Ops</t>
  </si>
  <si>
    <t>Determine approach</t>
  </si>
  <si>
    <t>2026-04-20</t>
  </si>
  <si>
    <t>AI / ML</t>
  </si>
  <si>
    <t>CVP AI ML Ops.</t>
  </si>
  <si>
    <t>Tokyo Marine</t>
  </si>
  <si>
    <t>Patrick G</t>
  </si>
  <si>
    <t>Stephanie R</t>
  </si>
  <si>
    <t>BK, SJ to approach</t>
  </si>
  <si>
    <t>Probability uncertain.</t>
  </si>
  <si>
    <t>Nationwide</t>
  </si>
  <si>
    <t>Mahfuj Munshi</t>
  </si>
  <si>
    <t>BK to ask for intro</t>
  </si>
  <si>
    <t>2026-04-10</t>
  </si>
  <si>
    <t>🟢 Low</t>
  </si>
  <si>
    <t>Early stage.</t>
  </si>
  <si>
    <t>Sompo</t>
  </si>
  <si>
    <t>David Carter</t>
  </si>
  <si>
    <t>EVP / CSO</t>
  </si>
  <si>
    <t>Determine who should approach</t>
  </si>
  <si>
    <t>Outbound</t>
  </si>
  <si>
    <t>Cold - Outbound</t>
  </si>
  <si>
    <t>Strategy / Operations</t>
  </si>
  <si>
    <t>EVP/CSO level.</t>
  </si>
  <si>
    <t>Markel</t>
  </si>
  <si>
    <t>Lakshan to advise</t>
  </si>
  <si>
    <t>Lakshan to advise.</t>
  </si>
  <si>
    <t>Hanover</t>
  </si>
  <si>
    <t>Tim Roy</t>
  </si>
  <si>
    <t>VP</t>
  </si>
  <si>
    <t>Schedule Demo</t>
  </si>
  <si>
    <t>Insurance Solutions</t>
  </si>
  <si>
    <t>PEMCO</t>
  </si>
  <si>
    <t>Shashi Reddy</t>
  </si>
  <si>
    <t>Define outreach approach</t>
  </si>
  <si>
    <t>2026-02-15</t>
  </si>
  <si>
    <t>$50K initial scope.</t>
  </si>
  <si>
    <t>📋  ElevateNow — Master Contact Database</t>
  </si>
  <si>
    <t>Phone</t>
  </si>
  <si>
    <t>Relationship</t>
  </si>
  <si>
    <t>In Pipeline?</t>
  </si>
  <si>
    <t>SearchKey</t>
  </si>
  <si>
    <t>Assurant</t>
  </si>
  <si>
    <t>Melissa</t>
  </si>
  <si>
    <t>Petrowsky</t>
  </si>
  <si>
    <t>Vice President of Product Management</t>
  </si>
  <si>
    <t>melissa.petrowsky@assurant.com</t>
  </si>
  <si>
    <t>https://www.linkedin.com/in/melissa-navarro-petrowsky-80041b7/</t>
  </si>
  <si>
    <t>USA</t>
  </si>
  <si>
    <t>No</t>
  </si>
  <si>
    <t>Ex-Travelers alumni</t>
  </si>
  <si>
    <t>Stewart</t>
  </si>
  <si>
    <t>Murchie</t>
  </si>
  <si>
    <t>VP Global Operations &amp; Strategy</t>
  </si>
  <si>
    <t>stewart_murchie@ajg.com</t>
  </si>
  <si>
    <t>https://www.linkedin.com/in/stewart-murchie-6265593/</t>
  </si>
  <si>
    <t>Benoît</t>
  </si>
  <si>
    <t>Kéruzoré</t>
  </si>
  <si>
    <t>Chief Financial Officer</t>
  </si>
  <si>
    <t>benoit_keruzore@ajg.com</t>
  </si>
  <si>
    <t>https://www.linkedin.com/in/benoitkeruzore/</t>
  </si>
  <si>
    <t>Liberty Mutual</t>
  </si>
  <si>
    <t>Shaun</t>
  </si>
  <si>
    <t>Guinan</t>
  </si>
  <si>
    <t>Underwriting Officer</t>
  </si>
  <si>
    <t>shaun.guinan@libertymutual.com</t>
  </si>
  <si>
    <t>https://www.linkedin.com/in/shaun-guinan-8308536/</t>
  </si>
  <si>
    <t>Kenny</t>
  </si>
  <si>
    <t>Reed</t>
  </si>
  <si>
    <t>VP Underwriting Manager</t>
  </si>
  <si>
    <t>kenny.reed@libertymutual.com</t>
  </si>
  <si>
    <t>https://www.linkedin.com/in/kenny-reed-bb005120/</t>
  </si>
  <si>
    <t>Vicki</t>
  </si>
  <si>
    <t>Mullen</t>
  </si>
  <si>
    <t>Head of Distribution and Marketing</t>
  </si>
  <si>
    <t>vicki.mullen@libertymutual.com</t>
  </si>
  <si>
    <t>https://www.linkedin.com/in/vicki-mullen-197b2796/</t>
  </si>
  <si>
    <t>Matthew</t>
  </si>
  <si>
    <t>Henry</t>
  </si>
  <si>
    <t>Director of Underwriting Technology</t>
  </si>
  <si>
    <t>matthew.henry@libertymutual.com</t>
  </si>
  <si>
    <t>https://www.linkedin.com/in/matthew-henry-76b01b188/</t>
  </si>
  <si>
    <t>Tushar</t>
  </si>
  <si>
    <t>Mishra</t>
  </si>
  <si>
    <t>Director of Data Science</t>
  </si>
  <si>
    <t>tushar.mishra@libertymutual.com</t>
  </si>
  <si>
    <t>https://www.linkedin.com/in/tushar-m-98b44a8/</t>
  </si>
  <si>
    <t>Kyle</t>
  </si>
  <si>
    <t>Kidwell</t>
  </si>
  <si>
    <t xml:space="preserve">Director of Underwriting  </t>
  </si>
  <si>
    <t>kyle.kidwell@libertymutual.com</t>
  </si>
  <si>
    <t>https://www.linkedin.com/in/kyle-kidwell-cpcu-2a29b5b/</t>
  </si>
  <si>
    <t>Jill</t>
  </si>
  <si>
    <t>Farrell</t>
  </si>
  <si>
    <t>Senior Director of Product</t>
  </si>
  <si>
    <t>jill.farrell@libertymutual.com</t>
  </si>
  <si>
    <t>https://www.linkedin.com/in/jill-strycharz-farrell-a4414066/</t>
  </si>
  <si>
    <t>Shapiro</t>
  </si>
  <si>
    <t>Director, Underwriting Transformation</t>
  </si>
  <si>
    <t>matthew.shapiro@libertymutual.com</t>
  </si>
  <si>
    <t>https://www.linkedin.com/in/matthew-w-shapiro-653310b8/</t>
  </si>
  <si>
    <t>Anna</t>
  </si>
  <si>
    <t>Stankiewicz</t>
  </si>
  <si>
    <t>Director of Personal Lines Underwriting</t>
  </si>
  <si>
    <t>anna.stankiewicz@libertymutual.com</t>
  </si>
  <si>
    <t>https://www.linkedin.com/in/anna-stankiewicz-cpcu-api-aim/</t>
  </si>
  <si>
    <t>Rick</t>
  </si>
  <si>
    <t>Hinman</t>
  </si>
  <si>
    <t>Head of Delivery Center</t>
  </si>
  <si>
    <t>rick.hinman@libertymutual.com</t>
  </si>
  <si>
    <t>https://www.linkedin.com/in/rick-hinman-672a4b147/</t>
  </si>
  <si>
    <t>Lingmin</t>
  </si>
  <si>
    <t>Jiang</t>
  </si>
  <si>
    <t>Director I, Data Science</t>
  </si>
  <si>
    <t>lingmin.jiang@libertymutual.com</t>
  </si>
  <si>
    <t>https://www.linkedin.com/in/lingmin-jiang-609b9490/</t>
  </si>
  <si>
    <t>Joe</t>
  </si>
  <si>
    <t>Rocco</t>
  </si>
  <si>
    <t>Director II, Data Science</t>
  </si>
  <si>
    <t>joe.rocco@libertymutual.com</t>
  </si>
  <si>
    <t>https://www.linkedin.com/in/joe-rocco-fcas-0023b835/</t>
  </si>
  <si>
    <t>Jennifer</t>
  </si>
  <si>
    <t>Hennessy</t>
  </si>
  <si>
    <t>AVP, Sr. Underwriting Officer</t>
  </si>
  <si>
    <t>jennifer.hennessy@libertymutual.com</t>
  </si>
  <si>
    <t>https://www.linkedin.com/in/jennifer-hennessy-736a2070/</t>
  </si>
  <si>
    <t>Stephen</t>
  </si>
  <si>
    <t>Jones</t>
  </si>
  <si>
    <t>Director of Advanced Analytics</t>
  </si>
  <si>
    <t>stephen.jones@libertymutual.com</t>
  </si>
  <si>
    <t>https://www.linkedin.com/in/stephen-jones-3870b123/?trk=public_profile_browsemap</t>
  </si>
  <si>
    <t>Everest</t>
  </si>
  <si>
    <t>Keith</t>
  </si>
  <si>
    <t>Driscoll</t>
  </si>
  <si>
    <t>Vice President of Claims</t>
  </si>
  <si>
    <t>keith.driscoll@everestglobal.com</t>
  </si>
  <si>
    <t>https://www.linkedin.com/in/keith-driscoll-5a59b5b/</t>
  </si>
  <si>
    <t>Jeremy</t>
  </si>
  <si>
    <t>Steiner</t>
  </si>
  <si>
    <t>AVP, Underwriting Manager</t>
  </si>
  <si>
    <t>jeremy.steiner@everestglobal.com</t>
  </si>
  <si>
    <t>https://www.linkedin.com/in/jeremy-steiner-510b1794/</t>
  </si>
  <si>
    <t>Shawn</t>
  </si>
  <si>
    <t>Murphy</t>
  </si>
  <si>
    <t>Director of Claims</t>
  </si>
  <si>
    <t>shawn.murphy@everestglobal.com</t>
  </si>
  <si>
    <t>https://www.linkedin.com/in/shawn-murphy-4b152316/</t>
  </si>
  <si>
    <t>Michael</t>
  </si>
  <si>
    <t>Dobson</t>
  </si>
  <si>
    <t>Chief Claims Officer</t>
  </si>
  <si>
    <t>michael.dobson@everestglobal.com</t>
  </si>
  <si>
    <t>https://www.linkedin.com/in/michael-dobson-56491265/?originalSubdomain=uk</t>
  </si>
  <si>
    <t>Kevin</t>
  </si>
  <si>
    <t>Ruppell</t>
  </si>
  <si>
    <t>Director of Reinsurance Claims</t>
  </si>
  <si>
    <t>kevin.ruppell@everestglobal.com</t>
  </si>
  <si>
    <t>https://www.linkedin.com/in/kevin-ruppell-cpcu-are-42364817b/</t>
  </si>
  <si>
    <t>Timothy</t>
  </si>
  <si>
    <t>Costello</t>
  </si>
  <si>
    <t>VP Product Development</t>
  </si>
  <si>
    <t>timothy.costello@everestglobal.com</t>
  </si>
  <si>
    <t>https://www.linkedin.com/in/timothy-costello-b249029/</t>
  </si>
  <si>
    <t>Pacific Life</t>
  </si>
  <si>
    <t>Mary</t>
  </si>
  <si>
    <t>Eckert</t>
  </si>
  <si>
    <t>EVP and CIDO</t>
  </si>
  <si>
    <t>mary.eckert@pacificlife.com</t>
  </si>
  <si>
    <t>https://www.linkedin.com/in/mbeckert/</t>
  </si>
  <si>
    <t>Diana</t>
  </si>
  <si>
    <t>Rehnberg</t>
  </si>
  <si>
    <t>Interim Chief Data Officer</t>
  </si>
  <si>
    <t>diana.rehnberg@pacificlife.com</t>
  </si>
  <si>
    <t>https://www.linkedin.com/in/dianarehnberg/</t>
  </si>
  <si>
    <t>MassMutual</t>
  </si>
  <si>
    <t>Brian</t>
  </si>
  <si>
    <t>Greaney</t>
  </si>
  <si>
    <t xml:space="preserve">Director - Enterprise Technology </t>
  </si>
  <si>
    <t>bgreaney@massmutual.com</t>
  </si>
  <si>
    <t>https://www.linkedin.com/in/brian-greaney-02909396/</t>
  </si>
  <si>
    <t>Manick</t>
  </si>
  <si>
    <t>Rathinasamy</t>
  </si>
  <si>
    <t>Director, Product Technology</t>
  </si>
  <si>
    <t>mrathinasamy@massmutual.com</t>
  </si>
  <si>
    <t>https://www.linkedin.com/in/manick-rathinasamy-3b2aaa30/</t>
  </si>
  <si>
    <t>Allan</t>
  </si>
  <si>
    <t>Slotter</t>
  </si>
  <si>
    <t xml:space="preserve">Director of Finance Data Operations </t>
  </si>
  <si>
    <t>aslotter@massmutual.com</t>
  </si>
  <si>
    <t>https://www.linkedin.com/in/allan-slotter-208a781/</t>
  </si>
  <si>
    <t>Linda</t>
  </si>
  <si>
    <t>Sardi</t>
  </si>
  <si>
    <t>Vice President, Product</t>
  </si>
  <si>
    <t>lsardi@sompo-intl.com</t>
  </si>
  <si>
    <t>https://www.linkedin.com/in/lsardi/</t>
  </si>
  <si>
    <t>Jess</t>
  </si>
  <si>
    <t>Harris</t>
  </si>
  <si>
    <t>VP | Risk Control Life Sciences &amp; Technology Leader</t>
  </si>
  <si>
    <t>jharris@sompo-intl.com</t>
  </si>
  <si>
    <t>https://www.linkedin.com/in/john-reilly-1a70087/</t>
  </si>
  <si>
    <t>Olsen</t>
  </si>
  <si>
    <t>Global Surety Chief Underwriting Officer</t>
  </si>
  <si>
    <t>molsen@sompo-intl.com</t>
  </si>
  <si>
    <t>https://www.linkedin.com/in/dmatthewolsen/</t>
  </si>
  <si>
    <t>Gerry</t>
  </si>
  <si>
    <t>Zecca</t>
  </si>
  <si>
    <t xml:space="preserve">Vice President Product Development </t>
  </si>
  <si>
    <t>gzecca@sompo-intl.com</t>
  </si>
  <si>
    <t>https://www.linkedin.com/in/gerry-zecca-97649b5/</t>
  </si>
  <si>
    <t>James</t>
  </si>
  <si>
    <t>Dohnert</t>
  </si>
  <si>
    <t>Senior Vice President, Claims</t>
  </si>
  <si>
    <t>jdohnert@sompo-intl.com</t>
  </si>
  <si>
    <t>https://www.linkedin.com/in/james-dohnert-b4310a81/</t>
  </si>
  <si>
    <t>Kim</t>
  </si>
  <si>
    <t>Phan</t>
  </si>
  <si>
    <t>Senior Vice President, Head of Underwriting</t>
  </si>
  <si>
    <t>kphan@sompo-intl.com</t>
  </si>
  <si>
    <t>https://www.linkedin.com/in/kim-phan-281581112/</t>
  </si>
  <si>
    <t>Ian</t>
  </si>
  <si>
    <t>Dixon</t>
  </si>
  <si>
    <t>Vice President - Equipment Breakdown Underwriting</t>
  </si>
  <si>
    <t>idixon@sompo-intl.com</t>
  </si>
  <si>
    <t>https://www.linkedin.com/in/ian-dixon-2232b1114/</t>
  </si>
  <si>
    <t>David</t>
  </si>
  <si>
    <t>Carter</t>
  </si>
  <si>
    <t>Executive Vice President, Chief Strategic Officer</t>
  </si>
  <si>
    <t>dcarter@sompo-intl.com</t>
  </si>
  <si>
    <t>https://www.linkedin.com/in/david-a-carter-62754442/</t>
  </si>
  <si>
    <t>Hartford</t>
  </si>
  <si>
    <t>Spencer</t>
  </si>
  <si>
    <t>Pollack</t>
  </si>
  <si>
    <t>Senior Managing Director, Technology and Life Sciences</t>
  </si>
  <si>
    <t>spencer.pollack@thehartford.com</t>
  </si>
  <si>
    <t>https://www.linkedin.com/in/spencer-pollack</t>
  </si>
  <si>
    <t>Molly</t>
  </si>
  <si>
    <t>Guyer</t>
  </si>
  <si>
    <t xml:space="preserve">
Managing Director</t>
  </si>
  <si>
    <t>molly.guyer@thehartford.com</t>
  </si>
  <si>
    <t>https://www.linkedin.com/in/molly-guyer-551311119</t>
  </si>
  <si>
    <t>Bob</t>
  </si>
  <si>
    <t>Aaron</t>
  </si>
  <si>
    <t>VP - Head of PI Direct</t>
  </si>
  <si>
    <t>bob.aron@thehartford.com</t>
  </si>
  <si>
    <t>https://www.linkedin.com/in/bob-aaron</t>
  </si>
  <si>
    <t>Boudreau</t>
  </si>
  <si>
    <t>CIO, Vice President, Small Business</t>
  </si>
  <si>
    <t>https://www.linkedin.com/in/michael-boudreau-a57674a</t>
  </si>
  <si>
    <t>Renoi</t>
  </si>
  <si>
    <t>Thomas</t>
  </si>
  <si>
    <t>Assistant Vice President - DevSecOps, Cloud Engineering, API Management &amp; Quality Assurance</t>
  </si>
  <si>
    <t>https://www.linkedin.com/in/renoi-thomas-87313936</t>
  </si>
  <si>
    <t>Milton</t>
  </si>
  <si>
    <t>Jackson</t>
  </si>
  <si>
    <t xml:space="preserve">
VP &amp; Head of Customer Growth</t>
  </si>
  <si>
    <t>https://www.linkedin.com/in/miltonjksn</t>
  </si>
  <si>
    <t>Colleen</t>
  </si>
  <si>
    <t>Batman</t>
  </si>
  <si>
    <t xml:space="preserve">Senior Vice President - Small Commercial &amp; Personal Lines </t>
  </si>
  <si>
    <t>https://www.linkedin.com/in/colleen-batman-468b371</t>
  </si>
  <si>
    <t>Dave</t>
  </si>
  <si>
    <t>Gouker</t>
  </si>
  <si>
    <t>Sr Managing Director - Risk Engineering Property &amp; Inland Marine</t>
  </si>
  <si>
    <t>https://www.linkedin.com/in/dave-gouker-14a2b010</t>
  </si>
  <si>
    <t>Mike</t>
  </si>
  <si>
    <t>Smolenski</t>
  </si>
  <si>
    <t>AVP Data Transformation</t>
  </si>
  <si>
    <t>https://www.linkedin.com/in/mike-smolenski</t>
  </si>
  <si>
    <t>Vikas</t>
  </si>
  <si>
    <t>Bhor</t>
  </si>
  <si>
    <t>Vice President, Head of Data, Analytics and AI Engineering</t>
  </si>
  <si>
    <t>https://www.linkedin.com/in/vikas-bhor-b192474</t>
  </si>
  <si>
    <t>Lori</t>
  </si>
  <si>
    <t>Walters</t>
  </si>
  <si>
    <t>Vice President, Claims and Operations Data Science</t>
  </si>
  <si>
    <t>https://www.linkedin.com/in/lori-walters-027b2023</t>
  </si>
  <si>
    <t>Bryan</t>
  </si>
  <si>
    <t>Smith</t>
  </si>
  <si>
    <t xml:space="preserve">Chief Product Officer, Small Business </t>
  </si>
  <si>
    <t>https://www.linkedin.com/in/bryan-smith-8a39791</t>
  </si>
  <si>
    <t>Stefanie</t>
  </si>
  <si>
    <t>Zacchera</t>
  </si>
  <si>
    <t>Personal Lines Transformation Office - Vice President</t>
  </si>
  <si>
    <t>https://www.linkedin.com/in/stefanie-zacchera-fcas-8468903b</t>
  </si>
  <si>
    <t>Steve</t>
  </si>
  <si>
    <t>Deane</t>
  </si>
  <si>
    <t>EVP &amp; Chief Claims Officer</t>
  </si>
  <si>
    <t>https://www.linkedin.com/in/stephen-deane-</t>
  </si>
  <si>
    <t>Jim</t>
  </si>
  <si>
    <t>Young</t>
  </si>
  <si>
    <t>Yes</t>
  </si>
  <si>
    <t>CDO — key AIG opportunity</t>
  </si>
  <si>
    <t>Sekharan</t>
  </si>
  <si>
    <t>BK/SJ relationship</t>
  </si>
  <si>
    <t>Marketplace partner</t>
  </si>
  <si>
    <t>Kierstead</t>
  </si>
  <si>
    <t>Canada</t>
  </si>
  <si>
    <t>ITC Conference</t>
  </si>
  <si>
    <t>CDAO — meeting rescheduled</t>
  </si>
  <si>
    <t>Semararo</t>
  </si>
  <si>
    <t>BK/SJ approaching</t>
  </si>
  <si>
    <t>Srini</t>
  </si>
  <si>
    <t>Krishnamurthy</t>
  </si>
  <si>
    <t>CIO level</t>
  </si>
  <si>
    <t>Drew</t>
  </si>
  <si>
    <t>Woods</t>
  </si>
  <si>
    <t>SJ to approach</t>
  </si>
  <si>
    <t>Giri</t>
  </si>
  <si>
    <t>P</t>
  </si>
  <si>
    <t>High potential</t>
  </si>
  <si>
    <t>MDM consulting</t>
  </si>
  <si>
    <t>Brad</t>
  </si>
  <si>
    <t>Yarnall</t>
  </si>
  <si>
    <t>Raj to facilitate</t>
  </si>
  <si>
    <t>Louis</t>
  </si>
  <si>
    <t>D</t>
  </si>
  <si>
    <t>Arlind to facilitate</t>
  </si>
  <si>
    <t>Bipin</t>
  </si>
  <si>
    <t>Chadha</t>
  </si>
  <si>
    <t>BK to set</t>
  </si>
  <si>
    <t>Boris</t>
  </si>
  <si>
    <t>Simanovich</t>
  </si>
  <si>
    <t>Strong Artifi fit</t>
  </si>
  <si>
    <t>Mahfuj</t>
  </si>
  <si>
    <t>Munshi</t>
  </si>
  <si>
    <t>RGA</t>
  </si>
  <si>
    <t>Battersby</t>
  </si>
  <si>
    <t>ITC connection</t>
  </si>
  <si>
    <t>Allied World</t>
  </si>
  <si>
    <t>V</t>
  </si>
  <si>
    <t>ITC — Yes confirmed</t>
  </si>
  <si>
    <t>A16Z</t>
  </si>
  <si>
    <t>Alex</t>
  </si>
  <si>
    <t>Specter</t>
  </si>
  <si>
    <t>Partner</t>
  </si>
  <si>
    <t>ITC 3:30pm 14th</t>
  </si>
  <si>
    <t>Roy</t>
  </si>
  <si>
    <t>Need to offer a demo. Possible Book Roll Use case</t>
  </si>
  <si>
    <t>Acrisure</t>
  </si>
  <si>
    <t>Jimson</t>
  </si>
  <si>
    <t>Tharayil</t>
  </si>
  <si>
    <t>VP Partnerships</t>
  </si>
  <si>
    <t>Cold Outbound</t>
  </si>
  <si>
    <t>Sudeep to approach</t>
  </si>
  <si>
    <t>📊  ElevateNow Sales Pipeline — Executive Dashboard</t>
  </si>
  <si>
    <t>Live counts auto-update from Active Pipeline sheet  |  March 11, 2026</t>
  </si>
  <si>
    <t>PIPELINE BY STAGE</t>
  </si>
  <si>
    <t>Stage</t>
  </si>
  <si>
    <t>Count</t>
  </si>
  <si>
    <t>Total Value ($)</t>
  </si>
  <si>
    <t>Weighted Value ($)</t>
  </si>
  <si>
    <t>% of Pipeline</t>
  </si>
  <si>
    <t>Proposal Sent</t>
  </si>
  <si>
    <t>Closed Won</t>
  </si>
  <si>
    <t>TOTAL</t>
  </si>
  <si>
    <t>TEAM ACCOUNTABILITY</t>
  </si>
  <si>
    <t>Name</t>
  </si>
  <si>
    <t>Total Deals</t>
  </si>
  <si>
    <t>High Priority</t>
  </si>
  <si>
    <t>Vinod Srinivasan</t>
  </si>
  <si>
    <t>Bhaskar</t>
  </si>
  <si>
    <t>SJ</t>
  </si>
  <si>
    <t>Sudeep</t>
  </si>
  <si>
    <t>Ravi S</t>
  </si>
  <si>
    <t>📖  ElevateNow Sales Pipeline — Usage Guide &amp; Macro Setup</t>
  </si>
  <si>
    <t>HOW THE ENTRY FORM WORKS</t>
  </si>
  <si>
    <t>Step 1</t>
  </si>
  <si>
    <t>Type any name or company into the yellow Search box on the Entry Form sheet. Results appear instantly in the 15 rows below — no button needed.</t>
  </si>
  <si>
    <t>Step 2</t>
  </si>
  <si>
    <t>Note the ROW # in column B next to the contact you want. Enter that number into the orange 'SELECT ROW #' box. All contact and pipeline fields auto-populate.</t>
  </si>
  <si>
    <t>Step 3</t>
  </si>
  <si>
    <t>Review/edit the loaded fields. For a new contact, leave the row # blank and type directly into the contact fields.</t>
  </si>
  <si>
    <t>Step 4</t>
  </si>
  <si>
    <t>Use the action buttons (SAVE / ADD NEW / UPDATE / CLEAR) — these require the VBA macros below (one-time setup).</t>
  </si>
  <si>
    <t>IMPORTANT NOTE ON SEARCH</t>
  </si>
  <si>
    <t>VBA MACRO SETUP (one-time, ~2 minutes)</t>
  </si>
  <si>
    <t>1. Open VBA Editor</t>
  </si>
  <si>
    <t>Press Alt+F11 to open the VBA editor.</t>
  </si>
  <si>
    <t>2. Insert Module</t>
  </si>
  <si>
    <t>Click Insert → Module to create a new module.</t>
  </si>
  <si>
    <t>3. Paste the macro code</t>
  </si>
  <si>
    <t>Copy the code from the grey box below and paste it into the module window.</t>
  </si>
  <si>
    <t>4. Save as macro-enabled</t>
  </si>
  <si>
    <t>Close VBA editor. Save the file as .xlsm (Excel Macro-Enabled Workbook) via File → Save As.</t>
  </si>
  <si>
    <t>5. Assign to buttons</t>
  </si>
  <si>
    <t>Right-click each colored button on the Entry Form → Assign Macro → select the matching macro name.</t>
  </si>
  <si>
    <t>MACRO CODE — Copy everything below into VBA Module</t>
  </si>
  <si>
    <t>Sub SaveToPipeline()</t>
  </si>
  <si>
    <t>' Appends form data to next empty row in Active Pipeline
Dim ws As Worksheet, wsPipe As Worksheet
Set ws = Sheets("📝 Entry Form")
Set wsPipe = Sheets("🔥 Active Pipeline")
Dim nextRow As Long
nextRow = wsPipe.Cells(wsPipe.Rows.Count, 1).End(xlUp).Row + 1
wsPipe.Cells(nextRow, 1) = ws.Range("D35")  ' Account/Company
wsPipe.Cells(nextRow, 2) = ws.Range("D33") &amp; " " &amp; ws.Range("D34")  ' Full Name
wsPipe.Cells(nextRow, 3) = ws.Range("D36")  ' Title
wsPipe.Cells(nextRow, 4) = ws.Range("D48")  ' Opp Type
wsPipe.Cells(nextRow, 5) = ws.Range("J48")  ' Stage
wsPipe.Cells(nextRow, 7) = ws.Range("D49")  ' Value
wsPipe.Cells(nextRow, 8) = ws.Range("J49")  ' Owner
wsPipe.Cells(nextRow, 10) = ws.Range("D51") ' Next Action
wsPipe.Cells(nextRow, 11) = ws.Range("D52") ' Next Action Date
wsPipe.Cells(nextRow, 17) = ws.Range("D50") ' Priority
wsPipe.Cells(nextRow, 18) = ws.Range("D53") ' Notes
MsgBox "Saved to Active Pipeline row " &amp; nextRow
End Sub</t>
  </si>
  <si>
    <t>Sub UpdatePipeline()</t>
  </si>
  <si>
    <t>' Updates existing pipeline row from form
Dim ws As Worksheet, wsPipe As Worksheet
Set ws = Sheets("📝 Entry Form")
Set wsPipe = Sheets("🔥 Active Pipeline")
Dim pRow As Long
pRow = ws.Range("D45").Value
If pRow = "" Or pRow &lt; 5 Then MsgBox "No pipeline row detected.": Exit Sub
wsPipe.Cells(pRow, 4) = ws.Range("D48")  ' Opp Type
wsPipe.Cells(pRow, 5) = ws.Range("J48")  ' Stage
wsPipe.Cells(pRow, 7) = ws.Range("D49")  ' Value
wsPipe.Cells(pRow, 8) = ws.Range("J49")  ' Owner
wsPipe.Cells(pRow, 10) = ws.Range("D51") ' Next Action
wsPipe.Cells(pRow, 11) = ws.Range("D52") ' Next Action Date
wsPipe.Cells(pRow, 17) = ws.Range("D50") ' Priority
wsPipe.Cells(pRow, 18) = ws.Range("D53") ' Notes
MsgBox "Updated pipeline row " &amp; pRow
End Sub</t>
  </si>
  <si>
    <t>Sub AddNewContact()</t>
  </si>
  <si>
    <t>' Appends new contact to Contact Master
Dim ws As Worksheet, wsCM As Worksheet
Set ws = Sheets("📝 Entry Form")
Set wsCM = Sheets("📋 Contact Master")
Dim nextRow As Long
nextRow = wsCM.Cells(wsCM.Rows.Count, 1).End(xlUp).Row + 1
wsCM.Cells(nextRow, 1) = ws.Range("D35")  ' Company
wsCM.Cells(nextRow, 2) = ws.Range("D33")  ' First Name
wsCM.Cells(nextRow, 3) = ws.Range("D34")  ' Last Name
wsCM.Cells(nextRow, 4) = ws.Range("D36")  ' Title
wsCM.Cells(nextRow, 5) = ws.Range("D37")  ' Email
wsCM.Cells(nextRow, 9) = ws.Range("D40")  ' Contact Type
MsgBox "Added to Contact Master row " &amp; nextRow
End Sub</t>
  </si>
  <si>
    <t>Sub ClearForm()</t>
  </si>
  <si>
    <t>' Clears the selection box and editable fields
Dim ws As Worksheet
Set ws = Sheets("📝 Entry Form")
ws.Range("D7").ClearContents   ' Search box
ws.Range("D28").ClearContents  ' Row # selector
MsgBox "Form cleared."
End Sub</t>
  </si>
  <si>
    <t>PIPELINE STAGES</t>
  </si>
  <si>
    <t>Account confirmed, no outreach yet. Probability: 5%</t>
  </si>
  <si>
    <t>First touch sent. Probability: 15%</t>
  </si>
  <si>
    <t>Meeting confirmed on calendar. Probability: 30%</t>
  </si>
  <si>
    <t>Discovery done, pain points confirmed. Probability: 45%</t>
  </si>
  <si>
    <t>SOW or deck delivered. Probability: 60%</t>
  </si>
  <si>
    <t>Active commercial discussion. Probability: 75%</t>
  </si>
  <si>
    <t>Engagement signed. Probability: 100%</t>
  </si>
  <si>
    <t>Opportunity lost — document reason. Probability: 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</si>
</sst>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\$#,##0"/>
  </numFmts>
  <fonts count="42">
    <font>
      <sz val="11"/>
      <color theme="1"/>
      <name val="Calibri"/>
      <family val="2"/>
      <charset val="1"/>
    </font>
    <font>
      <b/>
      <sz val="15"/>
      <color rgb="FFFFFFFF"/>
      <name val="Arial"/>
      <family val="2"/>
    </font>
    <font>
      <i/>
      <sz val="9"/>
      <color rgb="FFFFFFFF"/>
      <name val="Arial"/>
      <family val="2"/>
    </font>
    <font>
      <b/>
      <sz val="9"/>
      <color rgb="FFFFFFFF"/>
      <name val="Arial"/>
      <family val="2"/>
    </font>
    <font>
      <b/>
      <sz val="10"/>
      <color rgb="FF1B4F72"/>
      <name val="Arial"/>
      <family val="2"/>
    </font>
    <font>
      <sz val="12"/>
      <color rgb="FF1B4F72"/>
      <name val="Arial"/>
      <family val="2"/>
    </font>
    <font>
      <i/>
      <sz val="9"/>
      <color rgb="FF5D6D7E"/>
      <name val="Arial"/>
      <family val="2"/>
    </font>
    <font>
      <b/>
      <sz val="10"/>
      <color rgb="FF1A5276"/>
      <name val="Arial"/>
      <family val="2"/>
    </font>
    <font>
      <sz val="9"/>
      <name val="Arial"/>
      <family val="2"/>
    </font>
    <font>
      <sz val="7"/>
      <color rgb="FF5D6D7E"/>
      <name val="Arial"/>
      <family val="2"/>
    </font>
    <font>
      <b/>
      <sz val="9"/>
      <color rgb="FF5D6D7E"/>
      <name val="Arial"/>
      <family val="2"/>
    </font>
    <font>
      <sz val="10"/>
      <color rgb="FF1B4F72"/>
      <name val="Arial"/>
      <family val="2"/>
    </font>
    <font>
      <b/>
      <sz val="12"/>
      <color rgb="FFE67E22"/>
      <name val="Arial"/>
      <family val="2"/>
    </font>
    <font>
      <i/>
      <sz val="7"/>
      <color rgb="FF5D6D7E"/>
      <name val="Arial"/>
      <family val="2"/>
    </font>
    <font>
      <b/>
      <sz val="22"/>
      <color rgb="FFFFFFFF"/>
      <name val="Arial"/>
      <family val="2"/>
    </font>
    <font>
      <b/>
      <sz val="8"/>
      <color rgb="FF1B4F72"/>
      <name val="Arial"/>
      <family val="2"/>
    </font>
    <font>
      <b/>
      <sz val="8"/>
      <color rgb="FFE74C3C"/>
      <name val="Arial"/>
      <family val="2"/>
    </font>
    <font>
      <b/>
      <sz val="8"/>
      <color rgb="FF1A5276"/>
      <name val="Arial"/>
      <family val="2"/>
    </font>
    <font>
      <b/>
      <sz val="8"/>
      <color rgb="FFE67E22"/>
      <name val="Arial"/>
      <family val="2"/>
    </font>
    <font>
      <b/>
      <sz val="9"/>
      <color rgb="FF92400E"/>
      <name val="Arial"/>
      <family val="2"/>
    </font>
    <font>
      <b/>
      <sz val="13"/>
      <color rgb="FFFFFFFF"/>
      <name val="Arial"/>
      <family val="2"/>
    </font>
    <font>
      <b/>
      <sz val="9"/>
      <color rgb="FF1A5276"/>
      <name val="Arial"/>
      <family val="2"/>
    </font>
    <font>
      <b/>
      <sz val="9"/>
      <color rgb="FFE74C3C"/>
      <name val="Arial"/>
      <family val="2"/>
    </font>
    <font>
      <b/>
      <sz val="9"/>
      <color rgb="FFE67E22"/>
      <name val="Arial"/>
      <family val="2"/>
    </font>
    <font>
      <b/>
      <sz val="9"/>
      <color rgb="FF1B4F72"/>
      <name val="Arial"/>
      <family val="2"/>
    </font>
    <font>
      <b/>
      <sz val="9"/>
      <color rgb="FFF39C12"/>
      <name val="Arial"/>
      <family val="2"/>
    </font>
    <font>
      <b/>
      <sz val="9"/>
      <color rgb="FFF59E0B"/>
      <name val="Arial"/>
      <family val="2"/>
    </font>
    <font>
      <b/>
      <sz val="9"/>
      <color rgb="FF27AE60"/>
      <name val="Arial"/>
      <family val="2"/>
    </font>
    <font>
      <b/>
      <sz val="8"/>
      <color rgb="FFFFFFFF"/>
      <name val="Arial"/>
      <family val="2"/>
    </font>
    <font>
      <sz val="8"/>
      <color rgb="FF5D6D7E"/>
      <name val="Arial"/>
      <family val="2"/>
    </font>
    <font>
      <b/>
      <sz val="9"/>
      <color rgb="FF8E44AD"/>
      <name val="Arial"/>
      <family val="2"/>
    </font>
    <font>
      <b/>
      <sz val="14"/>
      <color rgb="FFFFFFFF"/>
      <name val="Arial"/>
      <family val="2"/>
    </font>
    <font>
      <b/>
      <sz val="10"/>
      <color rgb="FFFFFFFF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sz val="18"/>
      <color rgb="FFE67E22"/>
      <name val="Arial"/>
      <family val="2"/>
    </font>
    <font>
      <b/>
      <sz val="11"/>
      <color rgb="FFE67E22"/>
      <name val="Arial"/>
      <family val="2"/>
    </font>
    <font>
      <i/>
      <sz val="9"/>
      <color rgb="FF92400E"/>
      <name val="Arial"/>
      <family val="2"/>
    </font>
    <font>
      <i/>
      <sz val="9"/>
      <color rgb="FF27AE60"/>
      <name val="Arial"/>
      <family val="2"/>
    </font>
    <font>
      <u/>
      <sz val="11"/>
      <color theme="10"/>
      <name val="Calibri"/>
      <family val="2"/>
      <charset val="1"/>
    </font>
  </fonts>
  <fills count="38">
    <fill>
      <patternFill patternType="none"/>
    </fill>
    <fill>
      <patternFill patternType="gray125"/>
    </fill>
    <fill>
      <patternFill patternType="solid">
        <fgColor rgb="FF0D1B2A"/>
        <bgColor rgb="FF000000"/>
      </patternFill>
    </fill>
    <fill>
      <patternFill patternType="solid">
        <fgColor rgb="FF1B4F72"/>
        <bgColor rgb="FF1A5276"/>
      </patternFill>
    </fill>
    <fill>
      <patternFill patternType="solid">
        <fgColor rgb="FFF2F3F4"/>
        <bgColor rgb="FFF5F5F5"/>
      </patternFill>
    </fill>
    <fill>
      <patternFill patternType="solid">
        <fgColor rgb="FFFFFDE7"/>
        <bgColor rgb="FFFFFBEB"/>
      </patternFill>
    </fill>
    <fill>
      <patternFill patternType="solid">
        <fgColor rgb="FFD6EAF8"/>
        <bgColor rgb="FFD1F2EB"/>
      </patternFill>
    </fill>
    <fill>
      <patternFill patternType="solid">
        <fgColor rgb="FFEBF5FB"/>
        <bgColor rgb="FFF0F8FF"/>
      </patternFill>
    </fill>
    <fill>
      <patternFill patternType="solid">
        <fgColor rgb="FFFFFFFF"/>
        <bgColor rgb="FFF8FAFB"/>
      </patternFill>
    </fill>
    <fill>
      <patternFill patternType="solid">
        <fgColor rgb="FFFFFBEB"/>
        <bgColor rgb="FFFFFDE7"/>
      </patternFill>
    </fill>
    <fill>
      <patternFill patternType="solid">
        <fgColor rgb="FFE67E22"/>
        <bgColor rgb="FFF39C12"/>
      </patternFill>
    </fill>
    <fill>
      <patternFill patternType="solid">
        <fgColor rgb="FFF0F8FF"/>
        <bgColor rgb="FFEBF5FB"/>
      </patternFill>
    </fill>
    <fill>
      <patternFill patternType="solid">
        <fgColor rgb="FFE74C3C"/>
        <bgColor rgb="FFE67E22"/>
      </patternFill>
    </fill>
    <fill>
      <patternFill patternType="solid">
        <fgColor rgb="FFFFF8F0"/>
        <bgColor rgb="FFFFFBEB"/>
      </patternFill>
    </fill>
    <fill>
      <patternFill patternType="solid">
        <fgColor rgb="FFFFF5E6"/>
        <bgColor rgb="FFFEF9E7"/>
      </patternFill>
    </fill>
    <fill>
      <patternFill patternType="solid">
        <fgColor rgb="FFFEF9E7"/>
        <bgColor rgb="FFFFFBEB"/>
      </patternFill>
    </fill>
    <fill>
      <patternFill patternType="solid">
        <fgColor rgb="FF27AE60"/>
        <bgColor rgb="FF1ABC9C"/>
      </patternFill>
    </fill>
    <fill>
      <patternFill patternType="solid">
        <fgColor rgb="FF1A5276"/>
        <bgColor rgb="FF1B4F72"/>
      </patternFill>
    </fill>
    <fill>
      <patternFill patternType="solid">
        <fgColor rgb="FFF8FAFB"/>
        <bgColor rgb="FFF5F5F5"/>
      </patternFill>
    </fill>
    <fill>
      <patternFill patternType="solid">
        <fgColor rgb="FFFADBD8"/>
        <bgColor rgb="FFE8DAEF"/>
      </patternFill>
    </fill>
    <fill>
      <patternFill patternType="solid">
        <fgColor rgb="FFFDEBD0"/>
        <bgColor rgb="FFFEF3C7"/>
      </patternFill>
    </fill>
    <fill>
      <patternFill patternType="solid">
        <fgColor rgb="FFD1F2EB"/>
        <bgColor rgb="FFD5F5E3"/>
      </patternFill>
    </fill>
    <fill>
      <patternFill patternType="solid">
        <fgColor rgb="FFEAECEE"/>
        <bgColor rgb="FFF2F3F4"/>
      </patternFill>
    </fill>
    <fill>
      <patternFill patternType="solid">
        <fgColor rgb="FFFEF3C7"/>
        <bgColor rgb="FFFDEBD0"/>
      </patternFill>
    </fill>
    <fill>
      <patternFill patternType="solid">
        <fgColor rgb="FFD5F5E3"/>
        <bgColor rgb="FFD1F2EB"/>
      </patternFill>
    </fill>
    <fill>
      <patternFill patternType="solid">
        <fgColor rgb="FF8E44AD"/>
        <bgColor rgb="FF993366"/>
      </patternFill>
    </fill>
    <fill>
      <patternFill patternType="solid">
        <fgColor rgb="FFF8F4FF"/>
        <bgColor rgb="FFF5F5F5"/>
      </patternFill>
    </fill>
    <fill>
      <patternFill patternType="solid">
        <fgColor rgb="FFE8DAEF"/>
        <bgColor rgb="FFFADBD8"/>
      </patternFill>
    </fill>
    <fill>
      <patternFill patternType="solid">
        <fgColor rgb="FFF5F5F5"/>
        <bgColor rgb="FFF2F3F4"/>
      </patternFill>
    </fill>
    <fill>
      <patternFill patternType="solid">
        <fgColor rgb="FFE67E22"/>
      </patternFill>
    </fill>
    <fill>
      <patternFill patternType="solid">
        <fgColor rgb="FFFFFFFF"/>
      </patternFill>
    </fill>
    <fill>
      <patternFill patternType="solid">
        <fgColor rgb="FF0D1B2A"/>
      </patternFill>
    </fill>
    <fill>
      <patternFill patternType="solid">
        <fgColor rgb="FFFFF8F0"/>
      </patternFill>
    </fill>
    <fill>
      <patternFill patternType="solid">
        <fgColor rgb="FFFFF0E0"/>
      </patternFill>
    </fill>
    <fill>
      <patternFill patternType="solid">
        <fgColor rgb="FFFFFBEB"/>
      </patternFill>
    </fill>
    <fill>
      <patternFill patternType="solid">
        <fgColor rgb="FF1B4F72"/>
      </patternFill>
    </fill>
    <fill>
      <patternFill patternType="solid">
        <fgColor rgb="FFE74C3C"/>
      </patternFill>
    </fill>
    <fill>
      <patternFill patternType="solid">
        <fgColor rgb="FFD5F5E3"/>
      </patternFill>
    </fill>
  </fills>
  <borders count="30">
    <border>
      <left/>
      <right/>
      <top/>
      <bottom/>
      <diagonal/>
    </border>
    <border>
      <left style="medium">
        <color rgb="FFF59E0B"/>
      </left>
      <right/>
      <top style="medium">
        <color rgb="FFF59E0B"/>
      </top>
      <bottom style="medium">
        <color rgb="FFF59E0B"/>
      </bottom>
      <diagonal/>
    </border>
    <border>
      <left style="thin">
        <color rgb="FFF59E0B"/>
      </left>
      <right/>
      <top style="thin">
        <color rgb="FFF59E0B"/>
      </top>
      <bottom style="thin">
        <color rgb="FFF59E0B"/>
      </bottom>
      <diagonal/>
    </border>
    <border>
      <left style="medium">
        <color rgb="FFE67E22"/>
      </left>
      <right/>
      <top style="medium">
        <color rgb="FFE67E22"/>
      </top>
      <bottom style="medium">
        <color rgb="FFE67E22"/>
      </bottom>
      <diagonal/>
    </border>
    <border>
      <left style="medium">
        <color rgb="FF1B4F72"/>
      </left>
      <right/>
      <top style="thin">
        <color rgb="FFBFC9CA"/>
      </top>
      <bottom style="thin">
        <color rgb="FFBFC9CA"/>
      </bottom>
      <diagonal/>
    </border>
    <border>
      <left style="medium">
        <color rgb="FFE74C3C"/>
      </left>
      <right/>
      <top style="thin">
        <color rgb="FFBFC9CA"/>
      </top>
      <bottom style="thin">
        <color rgb="FFBFC9CA"/>
      </bottom>
      <diagonal/>
    </border>
    <border>
      <left style="medium">
        <color rgb="FFF39C12"/>
      </left>
      <right/>
      <top style="medium">
        <color rgb="FFF39C12"/>
      </top>
      <bottom style="medium">
        <color rgb="FFF39C12"/>
      </bottom>
      <diagonal/>
    </border>
    <border>
      <left style="medium">
        <color rgb="FF27AE60"/>
      </left>
      <right/>
      <top style="medium">
        <color rgb="FF27AE60"/>
      </top>
      <bottom style="medium">
        <color rgb="FF27AE60"/>
      </bottom>
      <diagonal/>
    </border>
    <border>
      <left style="medium">
        <color rgb="FF1B4F72"/>
      </left>
      <right/>
      <top style="medium">
        <color rgb="FF1B4F72"/>
      </top>
      <bottom style="medium">
        <color rgb="FF1B4F72"/>
      </bottom>
      <diagonal/>
    </border>
    <border>
      <left style="medium">
        <color rgb="FFE74C3C"/>
      </left>
      <right/>
      <top style="medium">
        <color rgb="FFE74C3C"/>
      </top>
      <bottom style="medium">
        <color rgb="FFE74C3C"/>
      </bottom>
      <diagonal/>
    </border>
    <border>
      <left style="thin">
        <color rgb="FF1B4F72"/>
      </left>
      <right/>
      <top style="thin">
        <color rgb="FF1B4F72"/>
      </top>
      <bottom style="thin">
        <color rgb="FF1B4F72"/>
      </bottom>
      <diagonal/>
    </border>
    <border>
      <left style="thin">
        <color rgb="FFE74C3C"/>
      </left>
      <right/>
      <top style="thin">
        <color rgb="FFE74C3C"/>
      </top>
      <bottom style="thin">
        <color rgb="FFE74C3C"/>
      </bottom>
      <diagonal/>
    </border>
    <border>
      <left style="thin">
        <color rgb="FF1A5276"/>
      </left>
      <right/>
      <top style="thin">
        <color rgb="FF1A5276"/>
      </top>
      <bottom style="thin">
        <color rgb="FF1A5276"/>
      </bottom>
      <diagonal/>
    </border>
    <border>
      <left style="thin">
        <color rgb="FFE67E22"/>
      </left>
      <right/>
      <top style="thin">
        <color rgb="FFE67E22"/>
      </top>
      <bottom style="thin">
        <color rgb="FFE67E22"/>
      </bottom>
      <diagonal/>
    </border>
    <border>
      <left style="thin">
        <color rgb="FFBFC9CA"/>
      </left>
      <right/>
      <top style="thin">
        <color rgb="FFBFC9CA"/>
      </top>
      <bottom style="thin">
        <color rgb="FFBFC9CA"/>
      </bottom>
      <diagonal/>
    </border>
    <border>
      <left/>
      <right/>
      <top style="medium">
        <color rgb="FFF59E0B"/>
      </top>
      <bottom style="medium">
        <color rgb="FFF59E0B"/>
      </bottom>
      <diagonal/>
    </border>
    <border>
      <left/>
      <right/>
      <top style="thin">
        <color rgb="FFF59E0B"/>
      </top>
      <bottom style="thin">
        <color rgb="FFF59E0B"/>
      </bottom>
      <diagonal/>
    </border>
    <border>
      <left/>
      <right/>
      <top style="medium">
        <color rgb="FFE67E22"/>
      </top>
      <bottom style="medium">
        <color rgb="FFE67E22"/>
      </bottom>
      <diagonal/>
    </border>
    <border>
      <left/>
      <right/>
      <top style="thin">
        <color rgb="FFBFC9CA"/>
      </top>
      <bottom style="thin">
        <color rgb="FFBFC9CA"/>
      </bottom>
      <diagonal/>
    </border>
    <border>
      <left/>
      <right/>
      <top style="medium">
        <color rgb="FFF39C12"/>
      </top>
      <bottom style="medium">
        <color rgb="FFF39C12"/>
      </bottom>
      <diagonal/>
    </border>
    <border>
      <left/>
      <right/>
      <top style="medium">
        <color rgb="FF27AE60"/>
      </top>
      <bottom style="medium">
        <color rgb="FF27AE60"/>
      </bottom>
      <diagonal/>
    </border>
    <border>
      <left/>
      <right/>
      <top style="medium">
        <color rgb="FF1B4F72"/>
      </top>
      <bottom style="medium">
        <color rgb="FF1B4F72"/>
      </bottom>
      <diagonal/>
    </border>
    <border>
      <left/>
      <right/>
      <top style="medium">
        <color rgb="FFE74C3C"/>
      </top>
      <bottom style="medium">
        <color rgb="FFE74C3C"/>
      </bottom>
      <diagonal/>
    </border>
    <border>
      <left/>
      <right/>
      <top style="thin">
        <color rgb="FF1B4F72"/>
      </top>
      <bottom style="thin">
        <color rgb="FF1B4F72"/>
      </bottom>
      <diagonal/>
    </border>
    <border>
      <left/>
      <right/>
      <top style="thin">
        <color rgb="FFE74C3C"/>
      </top>
      <bottom style="thin">
        <color rgb="FFE74C3C"/>
      </bottom>
      <diagonal/>
    </border>
    <border>
      <left/>
      <right/>
      <top style="thin">
        <color rgb="FF1A5276"/>
      </top>
      <bottom style="thin">
        <color rgb="FF1A5276"/>
      </bottom>
      <diagonal/>
    </border>
    <border>
      <left/>
      <right/>
      <top style="thin">
        <color rgb="FFE67E22"/>
      </top>
      <bottom style="thin">
        <color rgb="FFE67E22"/>
      </bottom>
      <diagonal/>
    </border>
    <border>
      <left style="thin">
        <color rgb="FFE67E22"/>
      </left>
      <right style="thin">
        <color rgb="FFE67E22"/>
      </right>
      <top style="thin">
        <color rgb="FFE67E22"/>
      </top>
      <bottom style="thin">
        <color rgb="FFE67E22"/>
      </bottom>
      <diagonal/>
    </border>
    <border>
      <left style="medium">
        <color rgb="FFE67E22"/>
      </left>
      <right style="medium">
        <color rgb="FFE67E22"/>
      </right>
      <top style="medium">
        <color rgb="FFE67E22"/>
      </top>
      <bottom style="medium">
        <color rgb="FFE67E22"/>
      </bottom>
      <diagonal/>
    </border>
    <border>
      <left style="thin">
        <color rgb="FFBFC9CA"/>
      </left>
      <right style="thin">
        <color rgb="FFBFC9CA"/>
      </right>
      <top style="thin">
        <color rgb="FFBFC9CA"/>
      </top>
      <bottom style="thin">
        <color rgb="FFBFC9CA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130">
    <xf numFmtId="0" fontId="0" fillId="0" borderId="0" xfId="0"/>
    <xf numFmtId="0" fontId="6" fillId="0" borderId="0" xfId="0" applyFont="1" applyAlignment="1">
      <alignment horizontal="left" vertical="center"/>
    </xf>
    <xf numFmtId="0" fontId="9" fillId="0" borderId="0" xfId="0" applyFont="1"/>
    <xf numFmtId="0" fontId="13" fillId="0" borderId="0" xfId="0" applyFont="1" applyAlignment="1">
      <alignment horizontal="center" vertical="center" wrapText="1"/>
    </xf>
    <xf numFmtId="0" fontId="29" fillId="26" borderId="0" xfId="0" applyFont="1" applyFill="1"/>
    <xf numFmtId="0" fontId="29" fillId="26" borderId="0" xfId="0" applyFont="1" applyFill="1" applyAlignment="1">
      <alignment wrapText="1"/>
    </xf>
    <xf numFmtId="0" fontId="38" fillId="32" borderId="29" xfId="0" applyFont="1" applyFill="1" applyBorder="1" applyAlignment="1">
      <alignment horizontal="center" vertical="center"/>
    </xf>
    <xf numFmtId="0" fontId="38" fillId="33" borderId="29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left" vertical="center"/>
    </xf>
    <xf numFmtId="0" fontId="28" fillId="31" borderId="29" xfId="0" applyFont="1" applyFill="1" applyBorder="1" applyAlignment="1">
      <alignment horizontal="center" vertical="center"/>
    </xf>
    <xf numFmtId="0" fontId="3" fillId="29" borderId="29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7" fillId="6" borderId="29" xfId="0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left" vertical="center" indent="1"/>
    </xf>
    <xf numFmtId="0" fontId="7" fillId="7" borderId="29" xfId="0" applyFont="1" applyFill="1" applyBorder="1" applyAlignment="1">
      <alignment horizontal="center" vertical="center"/>
    </xf>
    <xf numFmtId="0" fontId="8" fillId="8" borderId="29" xfId="0" applyFont="1" applyFill="1" applyBorder="1" applyAlignment="1">
      <alignment horizontal="left" vertical="center" indent="1"/>
    </xf>
    <xf numFmtId="0" fontId="3" fillId="29" borderId="27" xfId="0" applyFont="1" applyFill="1" applyBorder="1" applyAlignment="1">
      <alignment horizontal="left" vertical="center" indent="1"/>
    </xf>
    <xf numFmtId="0" fontId="29" fillId="0" borderId="0" xfId="0" applyFont="1"/>
    <xf numFmtId="0" fontId="10" fillId="4" borderId="29" xfId="0" applyFont="1" applyFill="1" applyBorder="1" applyAlignment="1">
      <alignment horizontal="left" vertical="center" indent="1"/>
    </xf>
    <xf numFmtId="0" fontId="10" fillId="4" borderId="29" xfId="0" applyFont="1" applyFill="1" applyBorder="1" applyAlignment="1">
      <alignment horizontal="left" vertical="center"/>
    </xf>
    <xf numFmtId="0" fontId="10" fillId="7" borderId="29" xfId="0" applyFont="1" applyFill="1" applyBorder="1" applyAlignment="1">
      <alignment horizontal="left" vertical="center"/>
    </xf>
    <xf numFmtId="0" fontId="10" fillId="15" borderId="29" xfId="0" applyFont="1" applyFill="1" applyBorder="1" applyAlignment="1">
      <alignment horizontal="left" vertical="center"/>
    </xf>
    <xf numFmtId="0" fontId="3" fillId="3" borderId="29" xfId="0" applyFont="1" applyFill="1" applyBorder="1" applyAlignment="1">
      <alignment horizontal="center" vertical="center"/>
    </xf>
    <xf numFmtId="0" fontId="8" fillId="18" borderId="29" xfId="0" applyFont="1" applyFill="1" applyBorder="1" applyAlignment="1">
      <alignment horizontal="left" vertical="center" wrapText="1"/>
    </xf>
    <xf numFmtId="0" fontId="21" fillId="6" borderId="29" xfId="0" applyFont="1" applyFill="1" applyBorder="1" applyAlignment="1">
      <alignment horizontal="center" vertical="center"/>
    </xf>
    <xf numFmtId="165" fontId="8" fillId="18" borderId="29" xfId="0" applyNumberFormat="1" applyFont="1" applyFill="1" applyBorder="1" applyAlignment="1">
      <alignment horizontal="right" vertical="center"/>
    </xf>
    <xf numFmtId="0" fontId="22" fillId="19" borderId="29" xfId="0" applyFont="1" applyFill="1" applyBorder="1" applyAlignment="1">
      <alignment horizontal="center" vertical="center"/>
    </xf>
    <xf numFmtId="0" fontId="8" fillId="8" borderId="29" xfId="0" applyFont="1" applyFill="1" applyBorder="1" applyAlignment="1">
      <alignment horizontal="left" vertical="center" wrapText="1"/>
    </xf>
    <xf numFmtId="0" fontId="23" fillId="20" borderId="29" xfId="0" applyFont="1" applyFill="1" applyBorder="1" applyAlignment="1">
      <alignment horizontal="center" vertical="center"/>
    </xf>
    <xf numFmtId="0" fontId="24" fillId="21" borderId="29" xfId="0" applyFont="1" applyFill="1" applyBorder="1" applyAlignment="1">
      <alignment horizontal="center" vertical="center"/>
    </xf>
    <xf numFmtId="0" fontId="25" fillId="15" borderId="29" xfId="0" applyFont="1" applyFill="1" applyBorder="1" applyAlignment="1">
      <alignment horizontal="center" vertical="center"/>
    </xf>
    <xf numFmtId="0" fontId="10" fillId="22" borderId="29" xfId="0" applyFont="1" applyFill="1" applyBorder="1" applyAlignment="1">
      <alignment horizontal="center" vertical="center"/>
    </xf>
    <xf numFmtId="0" fontId="26" fillId="23" borderId="29" xfId="0" applyFont="1" applyFill="1" applyBorder="1" applyAlignment="1">
      <alignment horizontal="center" vertical="center"/>
    </xf>
    <xf numFmtId="0" fontId="27" fillId="24" borderId="29" xfId="0" applyFont="1" applyFill="1" applyBorder="1" applyAlignment="1">
      <alignment horizontal="center" vertical="center"/>
    </xf>
    <xf numFmtId="0" fontId="28" fillId="25" borderId="29" xfId="0" applyFont="1" applyFill="1" applyBorder="1" applyAlignment="1">
      <alignment horizontal="center" vertical="center"/>
    </xf>
    <xf numFmtId="0" fontId="8" fillId="18" borderId="29" xfId="0" applyFont="1" applyFill="1" applyBorder="1" applyAlignment="1">
      <alignment horizontal="left" vertical="center"/>
    </xf>
    <xf numFmtId="0" fontId="8" fillId="8" borderId="29" xfId="0" applyFont="1" applyFill="1" applyBorder="1" applyAlignment="1">
      <alignment horizontal="left" vertical="center"/>
    </xf>
    <xf numFmtId="0" fontId="30" fillId="27" borderId="29" xfId="0" applyFont="1" applyFill="1" applyBorder="1" applyAlignment="1">
      <alignment horizontal="center" vertical="center"/>
    </xf>
    <xf numFmtId="0" fontId="33" fillId="22" borderId="29" xfId="0" applyFont="1" applyFill="1" applyBorder="1" applyAlignment="1">
      <alignment horizontal="left" vertical="center" indent="1"/>
    </xf>
    <xf numFmtId="0" fontId="34" fillId="22" borderId="29" xfId="0" applyFont="1" applyFill="1" applyBorder="1" applyAlignment="1">
      <alignment horizontal="center" vertical="center"/>
    </xf>
    <xf numFmtId="165" fontId="8" fillId="22" borderId="29" xfId="0" applyNumberFormat="1" applyFont="1" applyFill="1" applyBorder="1" applyAlignment="1">
      <alignment horizontal="right" vertical="center"/>
    </xf>
    <xf numFmtId="9" fontId="8" fillId="22" borderId="29" xfId="0" applyNumberFormat="1" applyFont="1" applyFill="1" applyBorder="1" applyAlignment="1">
      <alignment horizontal="center" vertical="center"/>
    </xf>
    <xf numFmtId="0" fontId="33" fillId="21" borderId="29" xfId="0" applyFont="1" applyFill="1" applyBorder="1" applyAlignment="1">
      <alignment horizontal="left" vertical="center" indent="1"/>
    </xf>
    <xf numFmtId="0" fontId="34" fillId="21" borderId="29" xfId="0" applyFont="1" applyFill="1" applyBorder="1" applyAlignment="1">
      <alignment horizontal="center" vertical="center"/>
    </xf>
    <xf numFmtId="165" fontId="8" fillId="21" borderId="29" xfId="0" applyNumberFormat="1" applyFont="1" applyFill="1" applyBorder="1" applyAlignment="1">
      <alignment horizontal="right" vertical="center"/>
    </xf>
    <xf numFmtId="9" fontId="8" fillId="21" borderId="29" xfId="0" applyNumberFormat="1" applyFont="1" applyFill="1" applyBorder="1" applyAlignment="1">
      <alignment horizontal="center" vertical="center"/>
    </xf>
    <xf numFmtId="0" fontId="33" fillId="6" borderId="29" xfId="0" applyFont="1" applyFill="1" applyBorder="1" applyAlignment="1">
      <alignment horizontal="left" vertical="center" indent="1"/>
    </xf>
    <xf numFmtId="0" fontId="34" fillId="6" borderId="29" xfId="0" applyFont="1" applyFill="1" applyBorder="1" applyAlignment="1">
      <alignment horizontal="center" vertical="center"/>
    </xf>
    <xf numFmtId="165" fontId="8" fillId="6" borderId="29" xfId="0" applyNumberFormat="1" applyFont="1" applyFill="1" applyBorder="1" applyAlignment="1">
      <alignment horizontal="right" vertical="center"/>
    </xf>
    <xf numFmtId="9" fontId="8" fillId="6" borderId="29" xfId="0" applyNumberFormat="1" applyFont="1" applyFill="1" applyBorder="1" applyAlignment="1">
      <alignment horizontal="center" vertical="center"/>
    </xf>
    <xf numFmtId="0" fontId="33" fillId="23" borderId="29" xfId="0" applyFont="1" applyFill="1" applyBorder="1" applyAlignment="1">
      <alignment horizontal="left" vertical="center" indent="1"/>
    </xf>
    <xf numFmtId="0" fontId="34" fillId="23" borderId="29" xfId="0" applyFont="1" applyFill="1" applyBorder="1" applyAlignment="1">
      <alignment horizontal="center" vertical="center"/>
    </xf>
    <xf numFmtId="165" fontId="8" fillId="23" borderId="29" xfId="0" applyNumberFormat="1" applyFont="1" applyFill="1" applyBorder="1" applyAlignment="1">
      <alignment horizontal="right" vertical="center"/>
    </xf>
    <xf numFmtId="9" fontId="8" fillId="23" borderId="29" xfId="0" applyNumberFormat="1" applyFont="1" applyFill="1" applyBorder="1" applyAlignment="1">
      <alignment horizontal="center" vertical="center"/>
    </xf>
    <xf numFmtId="0" fontId="33" fillId="15" borderId="29" xfId="0" applyFont="1" applyFill="1" applyBorder="1" applyAlignment="1">
      <alignment horizontal="left" vertical="center" indent="1"/>
    </xf>
    <xf numFmtId="0" fontId="34" fillId="15" borderId="29" xfId="0" applyFont="1" applyFill="1" applyBorder="1" applyAlignment="1">
      <alignment horizontal="center" vertical="center"/>
    </xf>
    <xf numFmtId="165" fontId="8" fillId="15" borderId="29" xfId="0" applyNumberFormat="1" applyFont="1" applyFill="1" applyBorder="1" applyAlignment="1">
      <alignment horizontal="right" vertical="center"/>
    </xf>
    <xf numFmtId="9" fontId="8" fillId="15" borderId="29" xfId="0" applyNumberFormat="1" applyFont="1" applyFill="1" applyBorder="1" applyAlignment="1">
      <alignment horizontal="center" vertical="center"/>
    </xf>
    <xf numFmtId="0" fontId="33" fillId="20" borderId="29" xfId="0" applyFont="1" applyFill="1" applyBorder="1" applyAlignment="1">
      <alignment horizontal="left" vertical="center" indent="1"/>
    </xf>
    <xf numFmtId="0" fontId="34" fillId="20" borderId="29" xfId="0" applyFont="1" applyFill="1" applyBorder="1" applyAlignment="1">
      <alignment horizontal="center" vertical="center"/>
    </xf>
    <xf numFmtId="165" fontId="8" fillId="20" borderId="29" xfId="0" applyNumberFormat="1" applyFont="1" applyFill="1" applyBorder="1" applyAlignment="1">
      <alignment horizontal="right" vertical="center"/>
    </xf>
    <xf numFmtId="9" fontId="8" fillId="20" borderId="29" xfId="0" applyNumberFormat="1" applyFont="1" applyFill="1" applyBorder="1" applyAlignment="1">
      <alignment horizontal="center" vertical="center"/>
    </xf>
    <xf numFmtId="0" fontId="33" fillId="24" borderId="29" xfId="0" applyFont="1" applyFill="1" applyBorder="1" applyAlignment="1">
      <alignment horizontal="left" vertical="center" indent="1"/>
    </xf>
    <xf numFmtId="0" fontId="34" fillId="24" borderId="29" xfId="0" applyFont="1" applyFill="1" applyBorder="1" applyAlignment="1">
      <alignment horizontal="center" vertical="center"/>
    </xf>
    <xf numFmtId="165" fontId="8" fillId="24" borderId="29" xfId="0" applyNumberFormat="1" applyFont="1" applyFill="1" applyBorder="1" applyAlignment="1">
      <alignment horizontal="right" vertical="center"/>
    </xf>
    <xf numFmtId="9" fontId="8" fillId="24" borderId="29" xfId="0" applyNumberFormat="1" applyFont="1" applyFill="1" applyBorder="1" applyAlignment="1">
      <alignment horizontal="center" vertical="center"/>
    </xf>
    <xf numFmtId="0" fontId="33" fillId="19" borderId="29" xfId="0" applyFont="1" applyFill="1" applyBorder="1" applyAlignment="1">
      <alignment horizontal="left" vertical="center" indent="1"/>
    </xf>
    <xf numFmtId="0" fontId="34" fillId="19" borderId="29" xfId="0" applyFont="1" applyFill="1" applyBorder="1" applyAlignment="1">
      <alignment horizontal="center" vertical="center"/>
    </xf>
    <xf numFmtId="165" fontId="8" fillId="19" borderId="29" xfId="0" applyNumberFormat="1" applyFont="1" applyFill="1" applyBorder="1" applyAlignment="1">
      <alignment horizontal="right" vertical="center"/>
    </xf>
    <xf numFmtId="9" fontId="8" fillId="19" borderId="29" xfId="0" applyNumberFormat="1" applyFont="1" applyFill="1" applyBorder="1" applyAlignment="1">
      <alignment horizontal="center" vertical="center"/>
    </xf>
    <xf numFmtId="0" fontId="32" fillId="2" borderId="29" xfId="0" applyFont="1" applyFill="1" applyBorder="1" applyAlignment="1">
      <alignment horizontal="left" vertical="center" indent="1"/>
    </xf>
    <xf numFmtId="0" fontId="32" fillId="2" borderId="29" xfId="0" applyFont="1" applyFill="1" applyBorder="1" applyAlignment="1">
      <alignment horizontal="center" vertical="center"/>
    </xf>
    <xf numFmtId="165" fontId="32" fillId="2" borderId="29" xfId="0" applyNumberFormat="1" applyFont="1" applyFill="1" applyBorder="1" applyAlignment="1">
      <alignment horizontal="right" vertical="center"/>
    </xf>
    <xf numFmtId="0" fontId="35" fillId="8" borderId="29" xfId="0" applyFont="1" applyFill="1" applyBorder="1" applyAlignment="1">
      <alignment horizontal="left" vertical="center"/>
    </xf>
    <xf numFmtId="0" fontId="36" fillId="8" borderId="29" xfId="0" applyFont="1" applyFill="1" applyBorder="1" applyAlignment="1">
      <alignment horizontal="center" vertical="center"/>
    </xf>
    <xf numFmtId="0" fontId="35" fillId="4" borderId="29" xfId="0" applyFont="1" applyFill="1" applyBorder="1" applyAlignment="1">
      <alignment horizontal="left" vertical="center"/>
    </xf>
    <xf numFmtId="0" fontId="36" fillId="4" borderId="29" xfId="0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left" vertical="center" wrapText="1"/>
    </xf>
    <xf numFmtId="0" fontId="10" fillId="8" borderId="29" xfId="0" applyFont="1" applyFill="1" applyBorder="1" applyAlignment="1">
      <alignment horizontal="left" vertical="center" indent="1"/>
    </xf>
    <xf numFmtId="0" fontId="24" fillId="4" borderId="29" xfId="0" applyFont="1" applyFill="1" applyBorder="1" applyAlignment="1">
      <alignment horizontal="left" vertical="center" indent="1"/>
    </xf>
    <xf numFmtId="0" fontId="29" fillId="28" borderId="29" xfId="0" applyFont="1" applyFill="1" applyBorder="1" applyAlignment="1">
      <alignment horizontal="left" vertical="top" wrapText="1"/>
    </xf>
    <xf numFmtId="0" fontId="41" fillId="8" borderId="29" xfId="1" applyFill="1" applyBorder="1" applyAlignment="1">
      <alignment horizontal="left" vertical="center"/>
    </xf>
    <xf numFmtId="14" fontId="8" fillId="8" borderId="29" xfId="0" applyNumberFormat="1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left" vertical="center" indent="2"/>
    </xf>
    <xf numFmtId="0" fontId="11" fillId="11" borderId="4" xfId="0" applyFont="1" applyFill="1" applyBorder="1" applyAlignment="1">
      <alignment horizontal="left" vertical="center" indent="1"/>
    </xf>
    <xf numFmtId="0" fontId="3" fillId="35" borderId="0" xfId="0" applyFont="1" applyFill="1" applyAlignment="1">
      <alignment horizontal="left" vertical="center" indent="1"/>
    </xf>
    <xf numFmtId="0" fontId="11" fillId="14" borderId="5" xfId="0" applyFont="1" applyFill="1" applyBorder="1" applyAlignment="1">
      <alignment horizontal="left" vertical="center" indent="1"/>
    </xf>
    <xf numFmtId="0" fontId="11" fillId="13" borderId="4" xfId="0" applyFont="1" applyFill="1" applyBorder="1" applyAlignment="1">
      <alignment horizontal="left" vertical="center" indent="1"/>
    </xf>
    <xf numFmtId="1" fontId="14" fillId="12" borderId="11" xfId="0" applyNumberFormat="1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indent="2"/>
    </xf>
    <xf numFmtId="0" fontId="3" fillId="36" borderId="0" xfId="0" applyFont="1" applyFill="1" applyAlignment="1">
      <alignment horizontal="left" vertical="center" indent="1"/>
    </xf>
    <xf numFmtId="0" fontId="37" fillId="30" borderId="28" xfId="0" applyFont="1" applyFill="1" applyBorder="1" applyAlignment="1">
      <alignment horizontal="center" vertical="center"/>
    </xf>
    <xf numFmtId="0" fontId="40" fillId="37" borderId="29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 indent="1"/>
    </xf>
    <xf numFmtId="0" fontId="12" fillId="8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 indent="2"/>
    </xf>
    <xf numFmtId="0" fontId="5" fillId="5" borderId="1" xfId="0" applyFont="1" applyFill="1" applyBorder="1" applyAlignment="1">
      <alignment horizontal="left" vertical="center" indent="1"/>
    </xf>
    <xf numFmtId="0" fontId="39" fillId="34" borderId="2" xfId="0" applyFont="1" applyFill="1" applyBorder="1" applyAlignment="1">
      <alignment horizontal="left" vertical="center"/>
    </xf>
    <xf numFmtId="0" fontId="19" fillId="9" borderId="1" xfId="0" applyFont="1" applyFill="1" applyBorder="1" applyAlignment="1">
      <alignment horizontal="left" vertical="center"/>
    </xf>
    <xf numFmtId="1" fontId="14" fillId="17" borderId="12" xfId="0" applyNumberFormat="1" applyFont="1" applyFill="1" applyBorder="1" applyAlignment="1">
      <alignment horizontal="center" vertical="center"/>
    </xf>
    <xf numFmtId="1" fontId="14" fillId="10" borderId="13" xfId="0" applyNumberFormat="1" applyFont="1" applyFill="1" applyBorder="1" applyAlignment="1">
      <alignment horizontal="center" vertical="center"/>
    </xf>
    <xf numFmtId="0" fontId="11" fillId="13" borderId="4" xfId="0" applyFont="1" applyFill="1" applyBorder="1" applyAlignment="1">
      <alignment horizontal="left" vertical="center" wrapText="1" indent="1"/>
    </xf>
    <xf numFmtId="0" fontId="15" fillId="4" borderId="14" xfId="0" applyFont="1" applyFill="1" applyBorder="1" applyAlignment="1">
      <alignment horizontal="center" vertical="center"/>
    </xf>
    <xf numFmtId="164" fontId="11" fillId="13" borderId="4" xfId="0" applyNumberFormat="1" applyFont="1" applyFill="1" applyBorder="1" applyAlignment="1">
      <alignment horizontal="left" vertical="center" indent="1"/>
    </xf>
    <xf numFmtId="0" fontId="3" fillId="3" borderId="8" xfId="0" applyFont="1" applyFill="1" applyBorder="1" applyAlignment="1">
      <alignment horizontal="center" vertical="center"/>
    </xf>
    <xf numFmtId="164" fontId="11" fillId="14" borderId="5" xfId="0" applyNumberFormat="1" applyFont="1" applyFill="1" applyBorder="1" applyAlignment="1">
      <alignment horizontal="left" vertical="center" indent="1"/>
    </xf>
    <xf numFmtId="0" fontId="18" fillId="4" borderId="14" xfId="0" applyFont="1" applyFill="1" applyBorder="1" applyAlignment="1">
      <alignment horizontal="center" vertical="center"/>
    </xf>
    <xf numFmtId="0" fontId="3" fillId="12" borderId="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indent="1"/>
    </xf>
    <xf numFmtId="0" fontId="3" fillId="16" borderId="7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6" fillId="15" borderId="6" xfId="0" applyFont="1" applyFill="1" applyBorder="1" applyAlignment="1">
      <alignment horizontal="left" vertical="center" wrapText="1" indent="1"/>
    </xf>
    <xf numFmtId="1" fontId="14" fillId="3" borderId="10" xfId="0" applyNumberFormat="1" applyFont="1" applyFill="1" applyBorder="1" applyAlignment="1">
      <alignment horizontal="center" vertical="center"/>
    </xf>
    <xf numFmtId="0" fontId="32" fillId="3" borderId="0" xfId="0" applyFont="1" applyFill="1" applyAlignment="1">
      <alignment horizontal="left" vertical="center" indent="1"/>
    </xf>
    <xf numFmtId="0" fontId="31" fillId="2" borderId="0" xfId="0" applyFont="1" applyFill="1" applyAlignment="1">
      <alignment horizontal="left" vertical="center" indent="2"/>
    </xf>
    <xf numFmtId="0" fontId="0" fillId="0" borderId="0" xfId="0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0" fillId="0" borderId="21" xfId="0" applyBorder="1" applyAlignment="1"/>
    <xf numFmtId="0" fontId="0" fillId="0" borderId="22" xfId="0" applyBorder="1" applyAlignment="1"/>
    <xf numFmtId="0" fontId="0" fillId="0" borderId="23" xfId="0" applyBorder="1" applyAlignment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5E6"/>
      <rgbColor rgb="FFFF00FF"/>
      <rgbColor rgb="FFF8FAFB"/>
      <rgbColor rgb="FF800000"/>
      <rgbColor rgb="FF008000"/>
      <rgbColor rgb="FF000080"/>
      <rgbColor rgb="FFFFF8F0"/>
      <rgbColor rgb="FF800080"/>
      <rgbColor rgb="FF008080"/>
      <rgbColor rgb="FFBFC9CA"/>
      <rgbColor rgb="FFF0F8FF"/>
      <rgbColor rgb="FFEBF5FB"/>
      <rgbColor rgb="FF8E44AD"/>
      <rgbColor rgb="FFFFFDE7"/>
      <rgbColor rgb="FFD1F2EB"/>
      <rgbColor rgb="FF660066"/>
      <rgbColor rgb="FFE74C3C"/>
      <rgbColor rgb="FF0066CC"/>
      <rgbColor rgb="FFE8DAEF"/>
      <rgbColor rgb="FF000080"/>
      <rgbColor rgb="FFFF00FF"/>
      <rgbColor rgb="FFFEF9E7"/>
      <rgbColor rgb="FFF8F4FF"/>
      <rgbColor rgb="FF800080"/>
      <rgbColor rgb="FF800000"/>
      <rgbColor rgb="FF008080"/>
      <rgbColor rgb="FF0000FF"/>
      <rgbColor rgb="FF00CCFF"/>
      <rgbColor rgb="FFD6EAF8"/>
      <rgbColor rgb="FFD5F5E3"/>
      <rgbColor rgb="FFFEF3C7"/>
      <rgbColor rgb="FFEAECEE"/>
      <rgbColor rgb="FFFDEBD0"/>
      <rgbColor rgb="FFF2F3F4"/>
      <rgbColor rgb="FFFADBD8"/>
      <rgbColor rgb="FF3366FF"/>
      <rgbColor rgb="FF1ABC9C"/>
      <rgbColor rgb="FFFFFBEB"/>
      <rgbColor rgb="FFF39C12"/>
      <rgbColor rgb="FFF59E0B"/>
      <rgbColor rgb="FFE67E22"/>
      <rgbColor rgb="FF5D6D7E"/>
      <rgbColor rgb="FFF5F5F5"/>
      <rgbColor rgb="FF1B4F72"/>
      <rgbColor rgb="FF27AE60"/>
      <rgbColor rgb="FF0D1B2A"/>
      <rgbColor rgb="FF333300"/>
      <rgbColor rgb="FF92400E"/>
      <rgbColor rgb="FF993366"/>
      <rgbColor rgb="FF1A527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linkedin.com/in/timothy-roy-cpa-mba-9956a9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39C12"/>
  </sheetPr>
  <dimension ref="A2:L67"/>
  <sheetViews>
    <sheetView showGridLines="0" zoomScaleNormal="100" workbookViewId="0">
      <pane ySplit="4" topLeftCell="A5" activePane="bottomLeft" state="frozen"/>
      <selection pane="bottomLeft" activeCell="D8" sqref="D8"/>
    </sheetView>
  </sheetViews>
  <sheetFormatPr defaultColWidth="8.7109375" defaultRowHeight="15"/>
  <cols>
    <col min="1" max="1" width="2" customWidth="1"/>
    <col min="2" max="2" width="20" customWidth="1"/>
    <col min="3" max="3" width="11.42578125" customWidth="1"/>
    <col min="4" max="4" width="24" customWidth="1"/>
    <col min="5" max="5" width="2" customWidth="1"/>
    <col min="6" max="6" width="15.85546875" customWidth="1"/>
    <col min="7" max="7" width="49.7109375" customWidth="1"/>
    <col min="8" max="8" width="20" customWidth="1"/>
    <col min="9" max="9" width="22.42578125" customWidth="1"/>
    <col min="10" max="10" width="20" customWidth="1"/>
    <col min="11" max="11" width="46.7109375" customWidth="1"/>
    <col min="14" max="14" width="1" customWidth="1"/>
  </cols>
  <sheetData>
    <row r="2" spans="1:12" ht="43.5" customHeight="1">
      <c r="A2" s="91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</row>
    <row r="3" spans="1:12" ht="19.5" customHeight="1">
      <c r="A3" s="97" t="s">
        <v>1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</row>
    <row r="5" spans="1:12" ht="6" customHeight="1"/>
    <row r="6" spans="1:12" ht="21.75" customHeight="1">
      <c r="B6" s="95" t="s">
        <v>2</v>
      </c>
      <c r="C6" s="117"/>
      <c r="D6" s="117"/>
      <c r="E6" s="117"/>
      <c r="F6" s="117"/>
      <c r="G6" s="117"/>
      <c r="H6" s="117"/>
      <c r="I6" s="117"/>
      <c r="J6" s="117"/>
      <c r="K6" s="117"/>
    </row>
    <row r="7" spans="1:12" ht="30" customHeight="1">
      <c r="B7" s="8" t="s">
        <v>3</v>
      </c>
      <c r="D7" s="98" t="s">
        <v>4</v>
      </c>
      <c r="E7" s="118"/>
      <c r="F7" s="118"/>
      <c r="G7" s="118"/>
      <c r="H7" s="118"/>
      <c r="J7" s="1" t="s">
        <v>5</v>
      </c>
    </row>
    <row r="8" spans="1:12" ht="6" customHeight="1"/>
    <row r="9" spans="1:12" ht="21.75" customHeight="1">
      <c r="B9" s="9" t="s">
        <v>6</v>
      </c>
      <c r="C9" s="10" t="s">
        <v>7</v>
      </c>
      <c r="D9" s="11" t="s">
        <v>8</v>
      </c>
      <c r="F9" s="11" t="s">
        <v>9</v>
      </c>
      <c r="G9" s="11" t="s">
        <v>10</v>
      </c>
      <c r="H9" s="11" t="s">
        <v>11</v>
      </c>
    </row>
    <row r="10" spans="1:12" ht="19.5" customHeight="1">
      <c r="B10" s="12" t="str">
        <f t="shared" ref="B10:B24" si="0">IF(L10="","",L10)</f>
        <v/>
      </c>
      <c r="C10" s="6" t="str">
        <f>IF(L10="","",1)</f>
        <v/>
      </c>
      <c r="D10" s="13" t="str">
        <f>IF(L10="","",IFERROR(INDEX('📋 Contact Master'!B:B,L10),""))</f>
        <v/>
      </c>
      <c r="F10" s="13" t="str">
        <f>IF(L10="","",IFERROR(INDEX('📋 Contact Master'!C:C,L10),""))</f>
        <v/>
      </c>
      <c r="G10" s="13" t="str">
        <f>IF(L10="","",IFERROR(INDEX('📋 Contact Master'!A:A,L10),""))</f>
        <v/>
      </c>
      <c r="H10" s="13" t="str">
        <f>IF(L10="","",IFERROR(INDEX('📋 Contact Master'!D:D,L10),""))</f>
        <v/>
      </c>
      <c r="L10" s="2" t="str">
        <f>IF($D$7="","",IFERROR(MATCH("*"&amp;LOWER($D$7)&amp;"*",'📋 Contact Master'!M5:M151,0)+4,""))</f>
        <v/>
      </c>
    </row>
    <row r="11" spans="1:12" ht="19.5" customHeight="1">
      <c r="B11" s="14" t="str">
        <f t="shared" ca="1" si="0"/>
        <v/>
      </c>
      <c r="C11" s="7" t="str">
        <f ca="1">IF(L11="","",2)</f>
        <v/>
      </c>
      <c r="D11" s="15" t="str">
        <f ca="1">IF(L11="","",IFERROR(INDEX('📋 Contact Master'!B:B,L11),""))</f>
        <v/>
      </c>
      <c r="F11" s="15" t="str">
        <f ca="1">IF(L11="","",IFERROR(INDEX('📋 Contact Master'!C:C,L11),""))</f>
        <v/>
      </c>
      <c r="G11" s="15" t="str">
        <f ca="1">IF(L11="","",IFERROR(INDEX('📋 Contact Master'!A:A,L11),""))</f>
        <v/>
      </c>
      <c r="H11" s="15" t="str">
        <f ca="1">IF(L11="","",IFERROR(INDEX('📋 Contact Master'!D:D,L11),""))</f>
        <v/>
      </c>
      <c r="L11" s="2" t="str">
        <f ca="1">IF($D$7="","",IF(L10="","",IFERROR(MATCH("*"&amp;LOWER($D$7)&amp;"*",OFFSET('📋 Contact Master'!M5,L10-4,0,150-(L10-5),1),0)+L10,"")))</f>
        <v/>
      </c>
    </row>
    <row r="12" spans="1:12" ht="19.5" customHeight="1">
      <c r="B12" s="12" t="str">
        <f t="shared" ca="1" si="0"/>
        <v/>
      </c>
      <c r="C12" s="6" t="str">
        <f ca="1">IF(L12="","",3)</f>
        <v/>
      </c>
      <c r="D12" s="13" t="str">
        <f ca="1">IF(L12="","",IFERROR(INDEX('📋 Contact Master'!B:B,L12),""))</f>
        <v/>
      </c>
      <c r="F12" s="13" t="str">
        <f ca="1">IF(L12="","",IFERROR(INDEX('📋 Contact Master'!C:C,L12),""))</f>
        <v/>
      </c>
      <c r="G12" s="13" t="str">
        <f ca="1">IF(L12="","",IFERROR(INDEX('📋 Contact Master'!A:A,L12),""))</f>
        <v/>
      </c>
      <c r="H12" s="13" t="str">
        <f ca="1">IF(L12="","",IFERROR(INDEX('📋 Contact Master'!D:D,L12),""))</f>
        <v/>
      </c>
      <c r="L12" s="2" t="str">
        <f ca="1">IF($D$7="","",IF(L11="","",IFERROR(MATCH("*"&amp;LOWER($D$7)&amp;"*",OFFSET('📋 Contact Master'!M5,L11-4,0,150-(L11-5),1),0)+L11,"")))</f>
        <v/>
      </c>
    </row>
    <row r="13" spans="1:12" ht="19.5" customHeight="1">
      <c r="B13" s="14" t="str">
        <f t="shared" ca="1" si="0"/>
        <v/>
      </c>
      <c r="C13" s="7" t="str">
        <f ca="1">IF(L13="","",4)</f>
        <v/>
      </c>
      <c r="D13" s="15" t="str">
        <f ca="1">IF(L13="","",IFERROR(INDEX('📋 Contact Master'!B:B,L13),""))</f>
        <v/>
      </c>
      <c r="F13" s="15" t="str">
        <f ca="1">IF(L13="","",IFERROR(INDEX('📋 Contact Master'!C:C,L13),""))</f>
        <v/>
      </c>
      <c r="G13" s="15" t="str">
        <f ca="1">IF(L13="","",IFERROR(INDEX('📋 Contact Master'!A:A,L13),""))</f>
        <v/>
      </c>
      <c r="H13" s="15" t="str">
        <f ca="1">IF(L13="","",IFERROR(INDEX('📋 Contact Master'!D:D,L13),""))</f>
        <v/>
      </c>
      <c r="L13" s="2" t="str">
        <f ca="1">IF($D$7="","",IF(L12="","",IFERROR(MATCH("*"&amp;LOWER($D$7)&amp;"*",OFFSET('📋 Contact Master'!M5,L12-4,0,150-(L12-5),1),0)+L12,"")))</f>
        <v/>
      </c>
    </row>
    <row r="14" spans="1:12" ht="19.5" customHeight="1">
      <c r="B14" s="12" t="str">
        <f t="shared" ca="1" si="0"/>
        <v/>
      </c>
      <c r="C14" s="6" t="str">
        <f ca="1">IF(L14="","",5)</f>
        <v/>
      </c>
      <c r="D14" s="13" t="str">
        <f ca="1">IF(L14="","",IFERROR(INDEX('📋 Contact Master'!B:B,L14),""))</f>
        <v/>
      </c>
      <c r="F14" s="13" t="str">
        <f ca="1">IF(L14="","",IFERROR(INDEX('📋 Contact Master'!C:C,L14),""))</f>
        <v/>
      </c>
      <c r="G14" s="13" t="str">
        <f ca="1">IF(L14="","",IFERROR(INDEX('📋 Contact Master'!A:A,L14),""))</f>
        <v/>
      </c>
      <c r="H14" s="13" t="str">
        <f ca="1">IF(L14="","",IFERROR(INDEX('📋 Contact Master'!D:D,L14),""))</f>
        <v/>
      </c>
      <c r="L14" s="2" t="str">
        <f ca="1">IF($D$7="","",IF(L13="","",IFERROR(MATCH("*"&amp;LOWER($D$7)&amp;"*",OFFSET('📋 Contact Master'!M5,L13-4,0,150-(L13-5),1),0)+L13,"")))</f>
        <v/>
      </c>
    </row>
    <row r="15" spans="1:12" ht="19.5" customHeight="1">
      <c r="B15" s="14" t="str">
        <f t="shared" ca="1" si="0"/>
        <v/>
      </c>
      <c r="C15" s="7" t="str">
        <f ca="1">IF(L15="","",6)</f>
        <v/>
      </c>
      <c r="D15" s="15" t="str">
        <f ca="1">IF(L15="","",IFERROR(INDEX('📋 Contact Master'!B:B,L15),""))</f>
        <v/>
      </c>
      <c r="F15" s="15" t="str">
        <f ca="1">IF(L15="","",IFERROR(INDEX('📋 Contact Master'!C:C,L15),""))</f>
        <v/>
      </c>
      <c r="G15" s="15" t="str">
        <f ca="1">IF(L15="","",IFERROR(INDEX('📋 Contact Master'!A:A,L15),""))</f>
        <v/>
      </c>
      <c r="H15" s="15" t="str">
        <f ca="1">IF(L15="","",IFERROR(INDEX('📋 Contact Master'!D:D,L15),""))</f>
        <v/>
      </c>
      <c r="L15" s="2" t="str">
        <f ca="1">IF($D$7="","",IF(L14="","",IFERROR(MATCH("*"&amp;LOWER($D$7)&amp;"*",OFFSET('📋 Contact Master'!M5,L14-4,0,150-(L14-5),1),0)+L14,"")))</f>
        <v/>
      </c>
    </row>
    <row r="16" spans="1:12" ht="19.5" customHeight="1">
      <c r="B16" s="12" t="str">
        <f t="shared" ca="1" si="0"/>
        <v/>
      </c>
      <c r="C16" s="6" t="str">
        <f ca="1">IF(L16="","",7)</f>
        <v/>
      </c>
      <c r="D16" s="13" t="str">
        <f ca="1">IF(L16="","",IFERROR(INDEX('📋 Contact Master'!B:B,L16),""))</f>
        <v/>
      </c>
      <c r="F16" s="13" t="str">
        <f ca="1">IF(L16="","",IFERROR(INDEX('📋 Contact Master'!C:C,L16),""))</f>
        <v/>
      </c>
      <c r="G16" s="13" t="str">
        <f ca="1">IF(L16="","",IFERROR(INDEX('📋 Contact Master'!A:A,L16),""))</f>
        <v/>
      </c>
      <c r="H16" s="13" t="str">
        <f ca="1">IF(L16="","",IFERROR(INDEX('📋 Contact Master'!D:D,L16),""))</f>
        <v/>
      </c>
      <c r="L16" s="2" t="str">
        <f ca="1">IF($D$7="","",IF(L15="","",IFERROR(MATCH("*"&amp;LOWER($D$7)&amp;"*",OFFSET('📋 Contact Master'!M5,L15-4,0,150-(L15-5),1),0)+L15,"")))</f>
        <v/>
      </c>
    </row>
    <row r="17" spans="2:12" ht="19.5" customHeight="1">
      <c r="B17" s="14" t="str">
        <f t="shared" ca="1" si="0"/>
        <v/>
      </c>
      <c r="C17" s="7" t="str">
        <f ca="1">IF(L17="","",8)</f>
        <v/>
      </c>
      <c r="D17" s="15" t="str">
        <f ca="1">IF(L17="","",IFERROR(INDEX('📋 Contact Master'!B:B,L17),""))</f>
        <v/>
      </c>
      <c r="F17" s="15" t="str">
        <f ca="1">IF(L17="","",IFERROR(INDEX('📋 Contact Master'!C:C,L17),""))</f>
        <v/>
      </c>
      <c r="G17" s="15" t="str">
        <f ca="1">IF(L17="","",IFERROR(INDEX('📋 Contact Master'!A:A,L17),""))</f>
        <v/>
      </c>
      <c r="H17" s="15" t="str">
        <f ca="1">IF(L17="","",IFERROR(INDEX('📋 Contact Master'!D:D,L17),""))</f>
        <v/>
      </c>
      <c r="L17" s="2" t="str">
        <f ca="1">IF($D$7="","",IF(L16="","",IFERROR(MATCH("*"&amp;LOWER($D$7)&amp;"*",OFFSET('📋 Contact Master'!M5,L16-4,0,150-(L16-5),1),0)+L16,"")))</f>
        <v/>
      </c>
    </row>
    <row r="18" spans="2:12" ht="19.5" customHeight="1">
      <c r="B18" s="12" t="str">
        <f t="shared" ca="1" si="0"/>
        <v/>
      </c>
      <c r="C18" s="6" t="str">
        <f ca="1">IF(L18="","",9)</f>
        <v/>
      </c>
      <c r="D18" s="13" t="str">
        <f ca="1">IF(L18="","",IFERROR(INDEX('📋 Contact Master'!B:B,L18),""))</f>
        <v/>
      </c>
      <c r="F18" s="13" t="str">
        <f ca="1">IF(L18="","",IFERROR(INDEX('📋 Contact Master'!C:C,L18),""))</f>
        <v/>
      </c>
      <c r="G18" s="13" t="str">
        <f ca="1">IF(L18="","",IFERROR(INDEX('📋 Contact Master'!A:A,L18),""))</f>
        <v/>
      </c>
      <c r="H18" s="13" t="str">
        <f ca="1">IF(L18="","",IFERROR(INDEX('📋 Contact Master'!D:D,L18),""))</f>
        <v/>
      </c>
      <c r="L18" s="2" t="str">
        <f ca="1">IF($D$7="","",IF(L17="","",IFERROR(MATCH("*"&amp;LOWER($D$7)&amp;"*",OFFSET('📋 Contact Master'!M5,L17-4,0,150-(L17-5),1),0)+L17,"")))</f>
        <v/>
      </c>
    </row>
    <row r="19" spans="2:12" ht="19.5" customHeight="1">
      <c r="B19" s="14" t="str">
        <f t="shared" ca="1" si="0"/>
        <v/>
      </c>
      <c r="C19" s="7" t="str">
        <f ca="1">IF(L19="","",10)</f>
        <v/>
      </c>
      <c r="D19" s="15" t="str">
        <f ca="1">IF(L19="","",IFERROR(INDEX('📋 Contact Master'!B:B,L19),""))</f>
        <v/>
      </c>
      <c r="F19" s="15" t="str">
        <f ca="1">IF(L19="","",IFERROR(INDEX('📋 Contact Master'!C:C,L19),""))</f>
        <v/>
      </c>
      <c r="G19" s="15" t="str">
        <f ca="1">IF(L19="","",IFERROR(INDEX('📋 Contact Master'!A:A,L19),""))</f>
        <v/>
      </c>
      <c r="H19" s="15" t="str">
        <f ca="1">IF(L19="","",IFERROR(INDEX('📋 Contact Master'!D:D,L19),""))</f>
        <v/>
      </c>
      <c r="L19" s="2" t="str">
        <f ca="1">IF($D$7="","",IF(L18="","",IFERROR(MATCH("*"&amp;LOWER($D$7)&amp;"*",OFFSET('📋 Contact Master'!M5,L18-4,0,150-(L18-5),1),0)+L18,"")))</f>
        <v/>
      </c>
    </row>
    <row r="20" spans="2:12" ht="19.5" customHeight="1">
      <c r="B20" s="12" t="str">
        <f t="shared" ca="1" si="0"/>
        <v/>
      </c>
      <c r="C20" s="6" t="str">
        <f ca="1">IF(L20="","",11)</f>
        <v/>
      </c>
      <c r="D20" s="13" t="str">
        <f ca="1">IF(L20="","",IFERROR(INDEX('📋 Contact Master'!B:B,L20),""))</f>
        <v/>
      </c>
      <c r="F20" s="13" t="str">
        <f ca="1">IF(L20="","",IFERROR(INDEX('📋 Contact Master'!C:C,L20),""))</f>
        <v/>
      </c>
      <c r="G20" s="13" t="str">
        <f ca="1">IF(L20="","",IFERROR(INDEX('📋 Contact Master'!A:A,L20),""))</f>
        <v/>
      </c>
      <c r="H20" s="13" t="str">
        <f ca="1">IF(L20="","",IFERROR(INDEX('📋 Contact Master'!D:D,L20),""))</f>
        <v/>
      </c>
      <c r="L20" s="2" t="str">
        <f ca="1">IF($D$7="","",IF(L19="","",IFERROR(MATCH("*"&amp;LOWER($D$7)&amp;"*",OFFSET('📋 Contact Master'!M5,L19-4,0,150-(L19-5),1),0)+L19,"")))</f>
        <v/>
      </c>
    </row>
    <row r="21" spans="2:12" ht="19.5" customHeight="1">
      <c r="B21" s="14" t="str">
        <f t="shared" ca="1" si="0"/>
        <v/>
      </c>
      <c r="C21" s="7" t="str">
        <f ca="1">IF(L21="","",12)</f>
        <v/>
      </c>
      <c r="D21" s="15" t="str">
        <f ca="1">IF(L21="","",IFERROR(INDEX('📋 Contact Master'!B:B,L21),""))</f>
        <v/>
      </c>
      <c r="F21" s="15" t="str">
        <f ca="1">IF(L21="","",IFERROR(INDEX('📋 Contact Master'!C:C,L21),""))</f>
        <v/>
      </c>
      <c r="G21" s="15" t="str">
        <f ca="1">IF(L21="","",IFERROR(INDEX('📋 Contact Master'!A:A,L21),""))</f>
        <v/>
      </c>
      <c r="H21" s="15" t="str">
        <f ca="1">IF(L21="","",IFERROR(INDEX('📋 Contact Master'!D:D,L21),""))</f>
        <v/>
      </c>
      <c r="L21" s="2" t="str">
        <f ca="1">IF($D$7="","",IF(L20="","",IFERROR(MATCH("*"&amp;LOWER($D$7)&amp;"*",OFFSET('📋 Contact Master'!M5,L20-4,0,150-(L20-5),1),0)+L20,"")))</f>
        <v/>
      </c>
    </row>
    <row r="22" spans="2:12" ht="19.5" customHeight="1">
      <c r="B22" s="12" t="str">
        <f t="shared" ca="1" si="0"/>
        <v/>
      </c>
      <c r="C22" s="6" t="str">
        <f ca="1">IF(L22="","",13)</f>
        <v/>
      </c>
      <c r="D22" s="13" t="str">
        <f ca="1">IF(L22="","",IFERROR(INDEX('📋 Contact Master'!B:B,L22),""))</f>
        <v/>
      </c>
      <c r="F22" s="13" t="str">
        <f ca="1">IF(L22="","",IFERROR(INDEX('📋 Contact Master'!C:C,L22),""))</f>
        <v/>
      </c>
      <c r="G22" s="13" t="str">
        <f ca="1">IF(L22="","",IFERROR(INDEX('📋 Contact Master'!A:A,L22),""))</f>
        <v/>
      </c>
      <c r="H22" s="13" t="str">
        <f ca="1">IF(L22="","",IFERROR(INDEX('📋 Contact Master'!D:D,L22),""))</f>
        <v/>
      </c>
      <c r="L22" s="2" t="str">
        <f ca="1">IF($D$7="","",IF(L21="","",IFERROR(MATCH("*"&amp;LOWER($D$7)&amp;"*",OFFSET('📋 Contact Master'!M5,L21-4,0,150-(L21-5),1),0)+L21,"")))</f>
        <v/>
      </c>
    </row>
    <row r="23" spans="2:12" ht="19.5" customHeight="1">
      <c r="B23" s="14" t="str">
        <f t="shared" ca="1" si="0"/>
        <v/>
      </c>
      <c r="C23" s="7" t="str">
        <f ca="1">IF(L23="","",14)</f>
        <v/>
      </c>
      <c r="D23" s="15" t="str">
        <f ca="1">IF(L23="","",IFERROR(INDEX('📋 Contact Master'!B:B,L23),""))</f>
        <v/>
      </c>
      <c r="F23" s="15" t="str">
        <f ca="1">IF(L23="","",IFERROR(INDEX('📋 Contact Master'!C:C,L23),""))</f>
        <v/>
      </c>
      <c r="G23" s="15" t="str">
        <f ca="1">IF(L23="","",IFERROR(INDEX('📋 Contact Master'!A:A,L23),""))</f>
        <v/>
      </c>
      <c r="H23" s="15" t="str">
        <f ca="1">IF(L23="","",IFERROR(INDEX('📋 Contact Master'!D:D,L23),""))</f>
        <v/>
      </c>
      <c r="L23" s="2" t="str">
        <f ca="1">IF($D$7="","",IF(L22="","",IFERROR(MATCH("*"&amp;LOWER($D$7)&amp;"*",OFFSET('📋 Contact Master'!M5,L22-4,0,150-(L22-5),1),0)+L22,"")))</f>
        <v/>
      </c>
    </row>
    <row r="24" spans="2:12" ht="19.5" customHeight="1">
      <c r="B24" s="12" t="str">
        <f t="shared" ca="1" si="0"/>
        <v/>
      </c>
      <c r="C24" s="6" t="str">
        <f ca="1">IF(L24="","",15)</f>
        <v/>
      </c>
      <c r="D24" s="13" t="str">
        <f ca="1">IF(L24="","",IFERROR(INDEX('📋 Contact Master'!B:B,L24),""))</f>
        <v/>
      </c>
      <c r="F24" s="13" t="str">
        <f ca="1">IF(L24="","",IFERROR(INDEX('📋 Contact Master'!C:C,L24),""))</f>
        <v/>
      </c>
      <c r="G24" s="13" t="str">
        <f ca="1">IF(L24="","",IFERROR(INDEX('📋 Contact Master'!A:A,L24),""))</f>
        <v/>
      </c>
      <c r="H24" s="13" t="str">
        <f ca="1">IF(L24="","",IFERROR(INDEX('📋 Contact Master'!D:D,L24),""))</f>
        <v/>
      </c>
      <c r="L24" s="2" t="str">
        <f ca="1">IF($D$7="","",IF(L23="","",IFERROR(MATCH("*"&amp;LOWER($D$7)&amp;"*",OFFSET('📋 Contact Master'!M5,L23-4,0,150-(L23-5),1),0)+L23,"")))</f>
        <v/>
      </c>
    </row>
    <row r="25" spans="2:12" ht="6" customHeight="1"/>
    <row r="26" spans="2:12" ht="19.5" customHeight="1">
      <c r="B26" s="99" t="s">
        <v>12</v>
      </c>
      <c r="C26" s="119"/>
      <c r="D26" s="119"/>
      <c r="E26" s="119"/>
      <c r="F26" s="119"/>
      <c r="G26" s="119"/>
      <c r="H26" s="119"/>
      <c r="I26" s="119"/>
      <c r="J26" s="119"/>
      <c r="K26" s="119"/>
    </row>
    <row r="27" spans="2:12" ht="6" customHeight="1"/>
    <row r="28" spans="2:12" ht="30" customHeight="1">
      <c r="B28" s="16" t="s">
        <v>13</v>
      </c>
      <c r="D28" s="93">
        <v>1</v>
      </c>
      <c r="E28" s="120"/>
      <c r="F28" s="17" t="str">
        <f>IFERROR(INDEX(L10:L24,$D$28),"")</f>
        <v/>
      </c>
      <c r="G28" s="1" t="s">
        <v>14</v>
      </c>
    </row>
    <row r="29" spans="2:12" ht="18" customHeight="1">
      <c r="D29" s="94" t="str">
        <f>IF(F28="","  ⬆ enter a number above to load contact","  ✅  Contact loaded — review and edit Steps 2 &amp; 3 below")</f>
        <v xml:space="preserve">  ⬆ enter a number above to load contact</v>
      </c>
      <c r="E29" s="117"/>
      <c r="F29" s="117"/>
      <c r="G29" s="117"/>
      <c r="H29" s="117"/>
      <c r="I29" s="117"/>
      <c r="J29" s="117"/>
      <c r="K29" s="117"/>
    </row>
    <row r="30" spans="2:12" ht="6" customHeight="1"/>
    <row r="31" spans="2:12" ht="21.95" customHeight="1">
      <c r="B31" s="85" t="s">
        <v>15</v>
      </c>
      <c r="C31" s="117"/>
      <c r="D31" s="117"/>
      <c r="E31" s="117"/>
      <c r="F31" s="117"/>
      <c r="G31" s="117"/>
      <c r="H31" s="117"/>
      <c r="I31" s="117"/>
      <c r="J31" s="117"/>
      <c r="K31" s="117"/>
    </row>
    <row r="32" spans="2:12" ht="6" customHeight="1"/>
    <row r="33" spans="2:11" ht="25.5" customHeight="1">
      <c r="B33" s="18" t="s">
        <v>8</v>
      </c>
      <c r="D33" s="84" t="str">
        <f>IFERROR(INDEX('📋 Contact Master'!B:B,$F$28),"")</f>
        <v/>
      </c>
      <c r="E33" s="121"/>
      <c r="F33" s="121"/>
      <c r="G33" s="121"/>
    </row>
    <row r="34" spans="2:11" ht="25.5" customHeight="1">
      <c r="B34" s="18" t="s">
        <v>9</v>
      </c>
      <c r="D34" s="84" t="str">
        <f>IFERROR(INDEX('📋 Contact Master'!C:C,$F$28),"")</f>
        <v/>
      </c>
      <c r="E34" s="121"/>
      <c r="F34" s="121"/>
      <c r="G34" s="121"/>
    </row>
    <row r="35" spans="2:11" ht="25.5" customHeight="1">
      <c r="B35" s="18" t="s">
        <v>10</v>
      </c>
      <c r="D35" s="84" t="str">
        <f>IFERROR(INDEX('📋 Contact Master'!A:A,$F$28),"")</f>
        <v/>
      </c>
      <c r="E35" s="121"/>
      <c r="F35" s="121"/>
      <c r="G35" s="121"/>
    </row>
    <row r="36" spans="2:11" ht="25.5" customHeight="1">
      <c r="B36" s="18" t="s">
        <v>16</v>
      </c>
      <c r="D36" s="84" t="str">
        <f>IFERROR(INDEX('📋 Contact Master'!D:D,$F$28),"")</f>
        <v/>
      </c>
      <c r="E36" s="121"/>
      <c r="F36" s="121"/>
      <c r="G36" s="121"/>
    </row>
    <row r="37" spans="2:11" ht="25.5" customHeight="1">
      <c r="B37" s="18" t="s">
        <v>17</v>
      </c>
      <c r="D37" s="84" t="str">
        <f>IFERROR(INDEX('📋 Contact Master'!E:E,$F$28),"")</f>
        <v/>
      </c>
      <c r="E37" s="121"/>
      <c r="F37" s="121"/>
      <c r="G37" s="121"/>
    </row>
    <row r="38" spans="2:11" ht="25.5" customHeight="1">
      <c r="B38" s="18" t="s">
        <v>18</v>
      </c>
      <c r="D38" s="84" t="str">
        <f>IFERROR(INDEX('📋 Contact Master'!F:F,$F$28),"")</f>
        <v/>
      </c>
      <c r="E38" s="121"/>
      <c r="F38" s="121"/>
      <c r="G38" s="121"/>
    </row>
    <row r="39" spans="2:11" ht="25.5" customHeight="1">
      <c r="B39" s="18" t="s">
        <v>19</v>
      </c>
      <c r="D39" s="84" t="str">
        <f>IFERROR(INDEX('📋 Contact Master'!H:H,$F$28),"")</f>
        <v/>
      </c>
      <c r="E39" s="121"/>
      <c r="F39" s="121"/>
      <c r="G39" s="121"/>
    </row>
    <row r="40" spans="2:11" ht="25.5" customHeight="1">
      <c r="B40" s="18" t="s">
        <v>20</v>
      </c>
      <c r="D40" s="84" t="str">
        <f>IFERROR(INDEX('📋 Contact Master'!I:I,$F$28),"")</f>
        <v/>
      </c>
      <c r="E40" s="121"/>
      <c r="F40" s="121"/>
      <c r="G40" s="121"/>
    </row>
    <row r="42" spans="2:11" ht="6" customHeight="1"/>
    <row r="43" spans="2:11" ht="21.75" customHeight="1">
      <c r="B43" s="92" t="s">
        <v>21</v>
      </c>
      <c r="C43" s="117"/>
      <c r="D43" s="117"/>
      <c r="E43" s="117"/>
      <c r="F43" s="117"/>
      <c r="G43" s="117"/>
      <c r="H43" s="117"/>
      <c r="I43" s="117"/>
      <c r="J43" s="117"/>
      <c r="K43" s="117"/>
    </row>
    <row r="44" spans="2:11" ht="6" customHeight="1"/>
    <row r="45" spans="2:11" ht="25.5" customHeight="1">
      <c r="B45" s="19" t="s">
        <v>22</v>
      </c>
      <c r="D45" s="96" t="str">
        <f>IFERROR(MATCH(D35,'🔥 Active Pipeline'!A:A,0),"")</f>
        <v/>
      </c>
      <c r="E45" s="120"/>
      <c r="G45" s="1" t="s">
        <v>23</v>
      </c>
    </row>
    <row r="46" spans="2:11" ht="6" customHeight="1"/>
    <row r="47" spans="2:11" ht="25.5" customHeight="1">
      <c r="B47" s="19" t="s">
        <v>24</v>
      </c>
      <c r="D47" s="87" t="str">
        <f>IFERROR(INDEX('🔥 Active Pipeline'!A:A,$D$45),D35)</f>
        <v/>
      </c>
      <c r="E47" s="121"/>
      <c r="F47" s="121"/>
    </row>
    <row r="48" spans="2:11" ht="25.5" customHeight="1">
      <c r="B48" s="19" t="s">
        <v>25</v>
      </c>
      <c r="D48" s="87" t="str">
        <f>IFERROR(INDEX('🔥 Active Pipeline'!D:D,$D$45),"")</f>
        <v/>
      </c>
      <c r="E48" s="121"/>
      <c r="F48" s="121"/>
      <c r="H48" s="20" t="s">
        <v>26</v>
      </c>
      <c r="J48" s="86" t="str">
        <f>IFERROR(INDEX('🔥 Active Pipeline'!E:E,$D$45),"")</f>
        <v/>
      </c>
      <c r="K48" s="121"/>
    </row>
    <row r="49" spans="2:11" ht="25.5" customHeight="1">
      <c r="B49" s="19" t="s">
        <v>27</v>
      </c>
      <c r="D49" s="87" t="str">
        <f>IFERROR(INDEX('🔥 Active Pipeline'!G:G,$D$45),"")</f>
        <v/>
      </c>
      <c r="E49" s="121"/>
      <c r="F49" s="121"/>
      <c r="H49" s="20" t="s">
        <v>28</v>
      </c>
      <c r="J49" s="86" t="str">
        <f>IFERROR(INDEX('🔥 Active Pipeline'!H:H,$D$45),"")</f>
        <v/>
      </c>
      <c r="K49" s="121"/>
    </row>
    <row r="50" spans="2:11" ht="25.5" customHeight="1">
      <c r="B50" s="19" t="s">
        <v>29</v>
      </c>
      <c r="D50" s="87" t="str">
        <f>IFERROR(INDEX('🔥 Active Pipeline'!Q:Q,$D$45),"")</f>
        <v/>
      </c>
      <c r="E50" s="121"/>
      <c r="F50" s="121"/>
      <c r="H50" s="20" t="s">
        <v>30</v>
      </c>
      <c r="J50" s="86" t="str">
        <f>IFERROR(INDEX('🔥 Active Pipeline'!O:O,$D$45),"")</f>
        <v/>
      </c>
      <c r="K50" s="121"/>
    </row>
    <row r="51" spans="2:11" ht="25.5" customHeight="1">
      <c r="B51" s="19" t="s">
        <v>31</v>
      </c>
      <c r="D51" s="103" t="str">
        <f>IFERROR(INDEX('🔥 Active Pipeline'!J:J,$D$45),"")</f>
        <v/>
      </c>
      <c r="E51" s="121"/>
      <c r="F51" s="121"/>
      <c r="G51" s="121"/>
      <c r="H51" s="121"/>
      <c r="I51" s="121"/>
      <c r="J51" s="121"/>
      <c r="K51" s="121"/>
    </row>
    <row r="52" spans="2:11" ht="25.5" customHeight="1">
      <c r="B52" s="19" t="s">
        <v>32</v>
      </c>
      <c r="D52" s="105" t="str">
        <f>IFERROR(INDEX('🔥 Active Pipeline'!K:K,$D$45),"")</f>
        <v/>
      </c>
      <c r="E52" s="121"/>
      <c r="F52" s="121"/>
      <c r="H52" s="20" t="s">
        <v>33</v>
      </c>
      <c r="J52" s="107" t="str">
        <f>IFERROR(INDEX('🔥 Active Pipeline'!L:L,$D$45),"")</f>
        <v/>
      </c>
      <c r="K52" s="121"/>
    </row>
    <row r="53" spans="2:11" ht="30" customHeight="1">
      <c r="B53" s="21" t="s">
        <v>34</v>
      </c>
      <c r="D53" s="113" t="str">
        <f>IFERROR(INDEX('🔥 Active Pipeline'!R:R,$D$45),"")</f>
        <v/>
      </c>
      <c r="E53" s="122"/>
      <c r="F53" s="122"/>
      <c r="G53" s="122"/>
      <c r="H53" s="122"/>
      <c r="I53" s="122"/>
      <c r="J53" s="122"/>
      <c r="K53" s="122"/>
    </row>
    <row r="55" spans="2:11" ht="7.5" customHeight="1"/>
    <row r="56" spans="2:11" ht="33.75" customHeight="1">
      <c r="B56" s="111" t="s">
        <v>35</v>
      </c>
      <c r="C56" s="123"/>
      <c r="E56" s="106" t="s">
        <v>36</v>
      </c>
      <c r="F56" s="124"/>
      <c r="H56" s="112" t="s">
        <v>37</v>
      </c>
      <c r="I56" s="120"/>
      <c r="J56" s="109" t="s">
        <v>38</v>
      </c>
      <c r="K56" s="125"/>
    </row>
    <row r="57" spans="2:11" ht="15.75" customHeight="1">
      <c r="B57" s="3" t="s">
        <v>39</v>
      </c>
      <c r="E57" s="3" t="s">
        <v>40</v>
      </c>
      <c r="H57" s="3" t="s">
        <v>41</v>
      </c>
      <c r="J57" s="3" t="s">
        <v>42</v>
      </c>
    </row>
    <row r="59" spans="2:11" ht="6" customHeight="1"/>
    <row r="60" spans="2:11" ht="21.75" customHeight="1">
      <c r="B60" s="110" t="s">
        <v>43</v>
      </c>
      <c r="C60" s="117"/>
      <c r="D60" s="117"/>
      <c r="E60" s="117"/>
      <c r="F60" s="117"/>
      <c r="G60" s="117"/>
      <c r="H60" s="117"/>
      <c r="I60" s="117"/>
      <c r="J60" s="117"/>
      <c r="K60" s="117"/>
    </row>
    <row r="61" spans="2:11" ht="6" customHeight="1"/>
    <row r="62" spans="2:11" ht="43.5" customHeight="1">
      <c r="B62" s="114">
        <f>COUNTA('🔥 Active Pipeline'!A5:A301)</f>
        <v>22</v>
      </c>
      <c r="C62" s="126"/>
      <c r="E62" s="88">
        <f>COUNTIF('🔥 Active Pipeline'!Q5:Q301,"🔴 High")</f>
        <v>7</v>
      </c>
      <c r="F62" s="127"/>
      <c r="H62" s="101">
        <f>COUNTIF('🔥 Active Pipeline'!E5:E301,"Meeting Booked")</f>
        <v>6</v>
      </c>
      <c r="I62" s="128"/>
      <c r="J62" s="102">
        <f>COUNTIF('🔥 Active Pipeline'!E5:E301,"Negotiating")</f>
        <v>0</v>
      </c>
      <c r="K62" s="129"/>
    </row>
    <row r="63" spans="2:11" ht="18" customHeight="1">
      <c r="B63" s="104" t="s">
        <v>44</v>
      </c>
      <c r="C63" s="121"/>
      <c r="E63" s="90" t="s">
        <v>45</v>
      </c>
      <c r="F63" s="121"/>
      <c r="H63" s="89" t="s">
        <v>46</v>
      </c>
      <c r="I63" s="121"/>
      <c r="J63" s="108" t="s">
        <v>47</v>
      </c>
      <c r="K63" s="121"/>
    </row>
    <row r="67" spans="2:11" ht="21.75" customHeight="1">
      <c r="B67" s="100" t="s">
        <v>48</v>
      </c>
      <c r="C67" s="118"/>
      <c r="D67" s="118"/>
      <c r="E67" s="118"/>
      <c r="F67" s="118"/>
      <c r="G67" s="118"/>
      <c r="H67" s="118"/>
      <c r="I67" s="118"/>
      <c r="J67" s="118"/>
      <c r="K67" s="118"/>
    </row>
  </sheetData>
  <mergeCells count="43">
    <mergeCell ref="B67:K67"/>
    <mergeCell ref="J50:K50"/>
    <mergeCell ref="H62:I62"/>
    <mergeCell ref="J62:K62"/>
    <mergeCell ref="D51:K51"/>
    <mergeCell ref="B63:C63"/>
    <mergeCell ref="D52:F52"/>
    <mergeCell ref="E56:F56"/>
    <mergeCell ref="J52:K52"/>
    <mergeCell ref="J63:K63"/>
    <mergeCell ref="J56:K56"/>
    <mergeCell ref="B60:K60"/>
    <mergeCell ref="B56:C56"/>
    <mergeCell ref="H56:I56"/>
    <mergeCell ref="D53:K53"/>
    <mergeCell ref="B62:C62"/>
    <mergeCell ref="A2:K2"/>
    <mergeCell ref="B43:K43"/>
    <mergeCell ref="D28:E28"/>
    <mergeCell ref="D50:F50"/>
    <mergeCell ref="D37:G37"/>
    <mergeCell ref="D29:K29"/>
    <mergeCell ref="D49:F49"/>
    <mergeCell ref="B6:K6"/>
    <mergeCell ref="D33:G33"/>
    <mergeCell ref="D45:E45"/>
    <mergeCell ref="A3:K3"/>
    <mergeCell ref="D36:G36"/>
    <mergeCell ref="D7:H7"/>
    <mergeCell ref="D35:G35"/>
    <mergeCell ref="B26:K26"/>
    <mergeCell ref="J49:K49"/>
    <mergeCell ref="E62:F62"/>
    <mergeCell ref="D39:G39"/>
    <mergeCell ref="H63:I63"/>
    <mergeCell ref="D48:F48"/>
    <mergeCell ref="E63:F63"/>
    <mergeCell ref="D34:G34"/>
    <mergeCell ref="D40:G40"/>
    <mergeCell ref="B31:K31"/>
    <mergeCell ref="J48:K48"/>
    <mergeCell ref="D38:G38"/>
    <mergeCell ref="D47:F47"/>
  </mergeCells>
  <dataValidations count="5">
    <dataValidation type="list" allowBlank="1" sqref="D40" xr:uid="{00000000-0002-0000-0000-000000000000}">
      <formula1>"Ex-Travelers,Personal Network,ITC Conference,Channel Partner,Cold Outbound,Event"</formula1>
      <formula2>0</formula2>
    </dataValidation>
    <dataValidation type="list" allowBlank="1" sqref="D48" xr:uid="{00000000-0002-0000-0000-000001000000}">
      <formula1>"Platform (Artifi),Expert Services,Platform + Services,ServiceNow Channel,Advisory"</formula1>
      <formula2>0</formula2>
    </dataValidation>
    <dataValidation type="list" allowBlank="1" sqref="J48" xr:uid="{00000000-0002-0000-0000-000002000000}">
      <formula1>"Identified,Outreach Initiated,Meeting Booked,Discovery Complete,Proposal Sent,Negotiating,Closed Won,Closed Lost"</formula1>
      <formula2>0</formula2>
    </dataValidation>
    <dataValidation type="list" allowBlank="1" sqref="J49" xr:uid="{00000000-0002-0000-0000-000003000000}">
      <formula1>"VS,BK,SJ,RS,VS+BK,BK+SJ,VS+SJ,VS+BK+SJ,TBD"</formula1>
      <formula2>0</formula2>
    </dataValidation>
    <dataValidation type="list" allowBlank="1" sqref="D50" xr:uid="{00000000-0002-0000-0000-000004000000}">
      <formula1>"🔴 High,🟡 Medium,🟢 Low,⏸ On Hold"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74C3C"/>
  </sheetPr>
  <dimension ref="A2:R26"/>
  <sheetViews>
    <sheetView showGridLines="0" tabSelected="1" zoomScaleNormal="100" workbookViewId="0">
      <pane ySplit="4" topLeftCell="A5" activePane="bottomLeft" state="frozen"/>
      <selection pane="bottomLeft" activeCell="E6" sqref="E6"/>
    </sheetView>
  </sheetViews>
  <sheetFormatPr defaultColWidth="8.7109375" defaultRowHeight="15"/>
  <cols>
    <col min="1" max="2" width="18" customWidth="1"/>
    <col min="3" max="3" width="22" customWidth="1"/>
    <col min="4" max="4" width="16" customWidth="1"/>
    <col min="5" max="5" width="18" customWidth="1"/>
    <col min="6" max="6" width="8" customWidth="1"/>
    <col min="7" max="7" width="13" customWidth="1"/>
    <col min="8" max="8" width="16" customWidth="1"/>
    <col min="9" max="9" width="15" customWidth="1"/>
    <col min="10" max="10" width="30" customWidth="1"/>
    <col min="11" max="12" width="15" customWidth="1"/>
    <col min="13" max="13" width="14" customWidth="1"/>
    <col min="14" max="14" width="10" customWidth="1"/>
    <col min="15" max="15" width="20" customWidth="1"/>
    <col min="16" max="16" width="16" customWidth="1"/>
    <col min="17" max="17" width="10" customWidth="1"/>
    <col min="18" max="18" width="35" customWidth="1"/>
  </cols>
  <sheetData>
    <row r="2" spans="1:18" ht="36" customHeight="1">
      <c r="A2" s="83" t="s">
        <v>49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</row>
    <row r="3" spans="1:18" ht="6" customHeight="1"/>
    <row r="4" spans="1:18" ht="27.75" customHeight="1">
      <c r="A4" s="22" t="s">
        <v>50</v>
      </c>
      <c r="B4" s="22" t="s">
        <v>51</v>
      </c>
      <c r="C4" s="22" t="s">
        <v>16</v>
      </c>
      <c r="D4" s="22" t="s">
        <v>52</v>
      </c>
      <c r="E4" s="22" t="s">
        <v>26</v>
      </c>
      <c r="F4" s="22" t="s">
        <v>53</v>
      </c>
      <c r="G4" s="22" t="s">
        <v>27</v>
      </c>
      <c r="H4" s="22" t="s">
        <v>54</v>
      </c>
      <c r="I4" s="22" t="s">
        <v>55</v>
      </c>
      <c r="J4" s="22" t="s">
        <v>31</v>
      </c>
      <c r="K4" s="22" t="s">
        <v>32</v>
      </c>
      <c r="L4" s="22" t="s">
        <v>33</v>
      </c>
      <c r="M4" s="22" t="s">
        <v>56</v>
      </c>
      <c r="N4" s="22" t="s">
        <v>57</v>
      </c>
      <c r="O4" s="22" t="s">
        <v>58</v>
      </c>
      <c r="P4" s="22" t="s">
        <v>59</v>
      </c>
      <c r="Q4" s="22" t="s">
        <v>29</v>
      </c>
      <c r="R4" s="22" t="s">
        <v>34</v>
      </c>
    </row>
    <row r="5" spans="1:18" ht="36" customHeight="1">
      <c r="A5" s="23" t="s">
        <v>60</v>
      </c>
      <c r="B5" s="23" t="s">
        <v>61</v>
      </c>
      <c r="C5" s="23" t="s">
        <v>62</v>
      </c>
      <c r="D5" s="23" t="s">
        <v>63</v>
      </c>
      <c r="E5" s="24" t="s">
        <v>64</v>
      </c>
      <c r="F5" s="23" t="s">
        <v>65</v>
      </c>
      <c r="G5" s="25">
        <v>250000</v>
      </c>
      <c r="H5" s="23" t="s">
        <v>66</v>
      </c>
      <c r="I5" s="23" t="s">
        <v>61</v>
      </c>
      <c r="J5" s="23" t="s">
        <v>67</v>
      </c>
      <c r="K5" s="23" t="s">
        <v>68</v>
      </c>
      <c r="L5" s="23" t="s">
        <v>69</v>
      </c>
      <c r="M5" s="23" t="s">
        <v>70</v>
      </c>
      <c r="N5" s="23" t="s">
        <v>71</v>
      </c>
      <c r="O5" s="23" t="s">
        <v>72</v>
      </c>
      <c r="P5" s="23"/>
      <c r="Q5" s="26" t="s">
        <v>73</v>
      </c>
      <c r="R5" s="23" t="s">
        <v>74</v>
      </c>
    </row>
    <row r="6" spans="1:18" ht="36" customHeight="1">
      <c r="A6" s="27" t="s">
        <v>75</v>
      </c>
      <c r="B6" s="27" t="s">
        <v>76</v>
      </c>
      <c r="C6" s="27" t="s">
        <v>77</v>
      </c>
      <c r="D6" s="27" t="s">
        <v>78</v>
      </c>
      <c r="E6" s="28" t="s">
        <v>79</v>
      </c>
      <c r="F6" s="27" t="s">
        <v>80</v>
      </c>
      <c r="G6" s="27"/>
      <c r="H6" s="27" t="s">
        <v>81</v>
      </c>
      <c r="I6" s="27" t="s">
        <v>76</v>
      </c>
      <c r="J6" s="27" t="s">
        <v>82</v>
      </c>
      <c r="K6" s="27" t="s">
        <v>83</v>
      </c>
      <c r="L6" s="27" t="s">
        <v>84</v>
      </c>
      <c r="M6" s="27" t="s">
        <v>85</v>
      </c>
      <c r="N6" s="27" t="s">
        <v>86</v>
      </c>
      <c r="O6" s="27" t="s">
        <v>87</v>
      </c>
      <c r="P6" s="27"/>
      <c r="Q6" s="26" t="s">
        <v>73</v>
      </c>
      <c r="R6" s="27" t="s">
        <v>88</v>
      </c>
    </row>
    <row r="7" spans="1:18" ht="36" customHeight="1">
      <c r="A7" s="23" t="s">
        <v>89</v>
      </c>
      <c r="B7" s="23" t="s">
        <v>90</v>
      </c>
      <c r="C7" s="23" t="s">
        <v>91</v>
      </c>
      <c r="D7" s="23" t="s">
        <v>63</v>
      </c>
      <c r="E7" s="29" t="s">
        <v>92</v>
      </c>
      <c r="F7" s="23" t="s">
        <v>93</v>
      </c>
      <c r="G7" s="23"/>
      <c r="H7" s="23" t="s">
        <v>94</v>
      </c>
      <c r="I7" s="23" t="s">
        <v>95</v>
      </c>
      <c r="J7" s="23" t="s">
        <v>96</v>
      </c>
      <c r="K7" s="23" t="s">
        <v>97</v>
      </c>
      <c r="L7" s="23" t="s">
        <v>98</v>
      </c>
      <c r="M7" s="23" t="s">
        <v>99</v>
      </c>
      <c r="N7" s="23" t="s">
        <v>86</v>
      </c>
      <c r="O7" s="23" t="s">
        <v>100</v>
      </c>
      <c r="P7" s="23"/>
      <c r="Q7" s="26" t="s">
        <v>73</v>
      </c>
      <c r="R7" s="23" t="s">
        <v>101</v>
      </c>
    </row>
    <row r="8" spans="1:18" ht="36" customHeight="1">
      <c r="A8" s="27" t="s">
        <v>102</v>
      </c>
      <c r="B8" s="27" t="s">
        <v>103</v>
      </c>
      <c r="C8" s="27" t="s">
        <v>104</v>
      </c>
      <c r="D8" s="27" t="s">
        <v>105</v>
      </c>
      <c r="E8" s="24" t="s">
        <v>64</v>
      </c>
      <c r="F8" s="27" t="s">
        <v>65</v>
      </c>
      <c r="G8" s="27"/>
      <c r="H8" s="27" t="s">
        <v>106</v>
      </c>
      <c r="I8" s="27"/>
      <c r="J8" s="27" t="s">
        <v>107</v>
      </c>
      <c r="K8" s="27" t="s">
        <v>108</v>
      </c>
      <c r="L8" s="27" t="s">
        <v>109</v>
      </c>
      <c r="M8" s="27" t="s">
        <v>99</v>
      </c>
      <c r="N8" s="27" t="s">
        <v>86</v>
      </c>
      <c r="O8" s="27" t="s">
        <v>110</v>
      </c>
      <c r="P8" s="27"/>
      <c r="Q8" s="26" t="s">
        <v>73</v>
      </c>
      <c r="R8" s="27" t="s">
        <v>111</v>
      </c>
    </row>
    <row r="9" spans="1:18" ht="36" customHeight="1">
      <c r="A9" s="23" t="s">
        <v>112</v>
      </c>
      <c r="B9" s="23" t="s">
        <v>113</v>
      </c>
      <c r="C9" s="23" t="s">
        <v>114</v>
      </c>
      <c r="D9" s="23" t="s">
        <v>105</v>
      </c>
      <c r="E9" s="24" t="s">
        <v>64</v>
      </c>
      <c r="F9" s="23" t="s">
        <v>65</v>
      </c>
      <c r="G9" s="23"/>
      <c r="H9" s="23" t="s">
        <v>106</v>
      </c>
      <c r="I9" s="23" t="s">
        <v>113</v>
      </c>
      <c r="J9" s="23" t="s">
        <v>115</v>
      </c>
      <c r="K9" s="23" t="s">
        <v>116</v>
      </c>
      <c r="L9" s="23" t="s">
        <v>98</v>
      </c>
      <c r="M9" s="23" t="s">
        <v>99</v>
      </c>
      <c r="N9" s="23" t="s">
        <v>86</v>
      </c>
      <c r="O9" s="23" t="s">
        <v>117</v>
      </c>
      <c r="P9" s="23"/>
      <c r="Q9" s="26" t="s">
        <v>73</v>
      </c>
      <c r="R9" s="23" t="s">
        <v>118</v>
      </c>
    </row>
    <row r="10" spans="1:18" ht="36" customHeight="1">
      <c r="A10" s="27" t="s">
        <v>119</v>
      </c>
      <c r="B10" s="27" t="s">
        <v>120</v>
      </c>
      <c r="C10" s="27" t="s">
        <v>121</v>
      </c>
      <c r="D10" s="27" t="s">
        <v>122</v>
      </c>
      <c r="E10" s="24" t="s">
        <v>64</v>
      </c>
      <c r="F10" s="27" t="s">
        <v>65</v>
      </c>
      <c r="G10" s="27"/>
      <c r="H10" s="27" t="s">
        <v>66</v>
      </c>
      <c r="I10" s="27"/>
      <c r="J10" s="27" t="s">
        <v>123</v>
      </c>
      <c r="K10" s="27" t="s">
        <v>83</v>
      </c>
      <c r="L10" s="27" t="s">
        <v>69</v>
      </c>
      <c r="M10" s="27" t="s">
        <v>124</v>
      </c>
      <c r="N10" s="27" t="s">
        <v>124</v>
      </c>
      <c r="O10" s="27" t="s">
        <v>125</v>
      </c>
      <c r="P10" s="27"/>
      <c r="Q10" s="26" t="s">
        <v>73</v>
      </c>
      <c r="R10" s="27" t="s">
        <v>126</v>
      </c>
    </row>
    <row r="11" spans="1:18" ht="36" customHeight="1">
      <c r="A11" s="23" t="s">
        <v>127</v>
      </c>
      <c r="B11" s="23" t="s">
        <v>128</v>
      </c>
      <c r="C11" s="23" t="s">
        <v>104</v>
      </c>
      <c r="D11" s="23" t="s">
        <v>105</v>
      </c>
      <c r="E11" s="29" t="s">
        <v>92</v>
      </c>
      <c r="F11" s="23" t="s">
        <v>93</v>
      </c>
      <c r="G11" s="23"/>
      <c r="H11" s="23" t="s">
        <v>106</v>
      </c>
      <c r="I11" s="23" t="s">
        <v>129</v>
      </c>
      <c r="J11" s="23" t="s">
        <v>130</v>
      </c>
      <c r="K11" s="23" t="s">
        <v>131</v>
      </c>
      <c r="L11" s="23" t="s">
        <v>132</v>
      </c>
      <c r="M11" s="23" t="s">
        <v>99</v>
      </c>
      <c r="N11" s="23" t="s">
        <v>86</v>
      </c>
      <c r="O11" s="23" t="s">
        <v>133</v>
      </c>
      <c r="P11" s="23"/>
      <c r="Q11" s="30" t="s">
        <v>134</v>
      </c>
      <c r="R11" s="23" t="s">
        <v>135</v>
      </c>
    </row>
    <row r="12" spans="1:18" ht="36" customHeight="1">
      <c r="A12" s="27" t="s">
        <v>127</v>
      </c>
      <c r="B12" s="27" t="s">
        <v>136</v>
      </c>
      <c r="C12" s="27" t="s">
        <v>137</v>
      </c>
      <c r="D12" s="27" t="s">
        <v>122</v>
      </c>
      <c r="E12" s="31" t="s">
        <v>138</v>
      </c>
      <c r="F12" s="27" t="s">
        <v>139</v>
      </c>
      <c r="G12" s="27"/>
      <c r="H12" s="27" t="s">
        <v>140</v>
      </c>
      <c r="I12" s="27"/>
      <c r="J12" s="27" t="s">
        <v>141</v>
      </c>
      <c r="K12" s="27" t="s">
        <v>142</v>
      </c>
      <c r="L12" s="27" t="s">
        <v>143</v>
      </c>
      <c r="M12" s="27" t="s">
        <v>99</v>
      </c>
      <c r="N12" s="27" t="s">
        <v>86</v>
      </c>
      <c r="O12" s="27" t="s">
        <v>144</v>
      </c>
      <c r="P12" s="27"/>
      <c r="Q12" s="30" t="s">
        <v>134</v>
      </c>
      <c r="R12" s="27" t="s">
        <v>145</v>
      </c>
    </row>
    <row r="13" spans="1:18" ht="36" customHeight="1">
      <c r="A13" s="23" t="s">
        <v>146</v>
      </c>
      <c r="B13" s="23" t="s">
        <v>147</v>
      </c>
      <c r="C13" s="23" t="s">
        <v>114</v>
      </c>
      <c r="D13" s="23" t="s">
        <v>105</v>
      </c>
      <c r="E13" s="29" t="s">
        <v>92</v>
      </c>
      <c r="F13" s="23" t="s">
        <v>93</v>
      </c>
      <c r="G13" s="23"/>
      <c r="H13" s="23" t="s">
        <v>106</v>
      </c>
      <c r="I13" s="23" t="s">
        <v>147</v>
      </c>
      <c r="J13" s="23" t="s">
        <v>148</v>
      </c>
      <c r="K13" s="23" t="s">
        <v>108</v>
      </c>
      <c r="L13" s="23" t="s">
        <v>149</v>
      </c>
      <c r="M13" s="23" t="s">
        <v>99</v>
      </c>
      <c r="N13" s="23" t="s">
        <v>86</v>
      </c>
      <c r="O13" s="23" t="s">
        <v>150</v>
      </c>
      <c r="P13" s="23"/>
      <c r="Q13" s="30" t="s">
        <v>134</v>
      </c>
      <c r="R13" s="23" t="s">
        <v>151</v>
      </c>
    </row>
    <row r="14" spans="1:18" ht="36" customHeight="1">
      <c r="A14" s="27" t="s">
        <v>152</v>
      </c>
      <c r="B14" s="27" t="s">
        <v>153</v>
      </c>
      <c r="C14" s="27" t="s">
        <v>104</v>
      </c>
      <c r="D14" s="27" t="s">
        <v>105</v>
      </c>
      <c r="E14" s="29" t="s">
        <v>92</v>
      </c>
      <c r="F14" s="27" t="s">
        <v>93</v>
      </c>
      <c r="G14" s="27"/>
      <c r="H14" s="27" t="s">
        <v>154</v>
      </c>
      <c r="I14" s="27"/>
      <c r="J14" s="27" t="s">
        <v>155</v>
      </c>
      <c r="K14" s="27" t="s">
        <v>156</v>
      </c>
      <c r="L14" s="27" t="s">
        <v>149</v>
      </c>
      <c r="M14" s="27" t="s">
        <v>99</v>
      </c>
      <c r="N14" s="27" t="s">
        <v>71</v>
      </c>
      <c r="O14" s="27" t="s">
        <v>110</v>
      </c>
      <c r="P14" s="27"/>
      <c r="Q14" s="26" t="s">
        <v>73</v>
      </c>
      <c r="R14" s="27" t="s">
        <v>157</v>
      </c>
    </row>
    <row r="15" spans="1:18" ht="36" customHeight="1">
      <c r="A15" s="23" t="s">
        <v>158</v>
      </c>
      <c r="B15" s="23" t="s">
        <v>159</v>
      </c>
      <c r="C15" s="23" t="s">
        <v>160</v>
      </c>
      <c r="D15" s="23" t="s">
        <v>63</v>
      </c>
      <c r="E15" s="29" t="s">
        <v>64</v>
      </c>
      <c r="F15" s="23" t="s">
        <v>93</v>
      </c>
      <c r="G15" s="23"/>
      <c r="H15" s="23" t="s">
        <v>66</v>
      </c>
      <c r="I15" s="23"/>
      <c r="J15" s="23" t="s">
        <v>161</v>
      </c>
      <c r="K15" s="23" t="s">
        <v>162</v>
      </c>
      <c r="L15" s="23" t="s">
        <v>132</v>
      </c>
      <c r="M15" s="23" t="s">
        <v>99</v>
      </c>
      <c r="N15" s="23" t="s">
        <v>86</v>
      </c>
      <c r="O15" s="23" t="s">
        <v>163</v>
      </c>
      <c r="P15" s="23"/>
      <c r="Q15" s="30" t="s">
        <v>134</v>
      </c>
      <c r="R15" s="23" t="s">
        <v>164</v>
      </c>
    </row>
    <row r="16" spans="1:18" ht="36" customHeight="1">
      <c r="A16" s="27" t="s">
        <v>165</v>
      </c>
      <c r="B16" s="27" t="s">
        <v>166</v>
      </c>
      <c r="C16" s="27" t="s">
        <v>104</v>
      </c>
      <c r="D16" s="27" t="s">
        <v>105</v>
      </c>
      <c r="E16" s="29" t="s">
        <v>64</v>
      </c>
      <c r="F16" s="27" t="s">
        <v>93</v>
      </c>
      <c r="G16" s="27"/>
      <c r="H16" s="27" t="s">
        <v>167</v>
      </c>
      <c r="I16" s="27"/>
      <c r="J16" s="27" t="s">
        <v>168</v>
      </c>
      <c r="K16" s="27" t="s">
        <v>156</v>
      </c>
      <c r="L16" s="27" t="s">
        <v>169</v>
      </c>
      <c r="M16" s="27" t="s">
        <v>99</v>
      </c>
      <c r="N16" s="27" t="s">
        <v>86</v>
      </c>
      <c r="O16" s="27" t="s">
        <v>170</v>
      </c>
      <c r="P16" s="27"/>
      <c r="Q16" s="30" t="s">
        <v>134</v>
      </c>
      <c r="R16" s="27" t="s">
        <v>171</v>
      </c>
    </row>
    <row r="17" spans="1:18" ht="36" customHeight="1">
      <c r="A17" s="23" t="s">
        <v>172</v>
      </c>
      <c r="B17" s="23" t="s">
        <v>173</v>
      </c>
      <c r="C17" s="23" t="s">
        <v>121</v>
      </c>
      <c r="D17" s="23" t="s">
        <v>122</v>
      </c>
      <c r="E17" s="29" t="s">
        <v>92</v>
      </c>
      <c r="F17" s="23" t="s">
        <v>93</v>
      </c>
      <c r="G17" s="23"/>
      <c r="H17" s="23" t="s">
        <v>167</v>
      </c>
      <c r="I17" s="23"/>
      <c r="J17" s="23" t="s">
        <v>174</v>
      </c>
      <c r="K17" s="23" t="s">
        <v>131</v>
      </c>
      <c r="L17" s="23" t="s">
        <v>149</v>
      </c>
      <c r="M17" s="23" t="s">
        <v>99</v>
      </c>
      <c r="N17" s="23" t="s">
        <v>86</v>
      </c>
      <c r="O17" s="23" t="s">
        <v>175</v>
      </c>
      <c r="P17" s="23"/>
      <c r="Q17" s="30" t="s">
        <v>134</v>
      </c>
      <c r="R17" s="23" t="s">
        <v>176</v>
      </c>
    </row>
    <row r="18" spans="1:18" ht="36" customHeight="1">
      <c r="A18" s="27" t="s">
        <v>177</v>
      </c>
      <c r="B18" s="27" t="s">
        <v>178</v>
      </c>
      <c r="C18" s="27" t="s">
        <v>179</v>
      </c>
      <c r="D18" s="27" t="s">
        <v>105</v>
      </c>
      <c r="E18" s="31" t="s">
        <v>138</v>
      </c>
      <c r="F18" s="27" t="s">
        <v>139</v>
      </c>
      <c r="G18" s="27"/>
      <c r="H18" s="27" t="s">
        <v>154</v>
      </c>
      <c r="I18" s="27"/>
      <c r="J18" s="27" t="s">
        <v>180</v>
      </c>
      <c r="K18" s="27" t="s">
        <v>181</v>
      </c>
      <c r="L18" s="27" t="s">
        <v>182</v>
      </c>
      <c r="M18" s="27" t="s">
        <v>183</v>
      </c>
      <c r="N18" s="27" t="s">
        <v>184</v>
      </c>
      <c r="O18" s="27" t="s">
        <v>185</v>
      </c>
      <c r="P18" s="27"/>
      <c r="Q18" s="30" t="s">
        <v>134</v>
      </c>
      <c r="R18" s="27" t="s">
        <v>186</v>
      </c>
    </row>
    <row r="19" spans="1:18" ht="36" customHeight="1">
      <c r="A19" s="23" t="s">
        <v>187</v>
      </c>
      <c r="B19" s="23" t="s">
        <v>188</v>
      </c>
      <c r="C19" s="23" t="s">
        <v>137</v>
      </c>
      <c r="D19" s="23" t="s">
        <v>122</v>
      </c>
      <c r="E19" s="32" t="s">
        <v>189</v>
      </c>
      <c r="F19" s="23" t="s">
        <v>190</v>
      </c>
      <c r="G19" s="23"/>
      <c r="H19" s="23" t="s">
        <v>66</v>
      </c>
      <c r="I19" s="23"/>
      <c r="J19" s="23" t="s">
        <v>191</v>
      </c>
      <c r="K19" s="23" t="s">
        <v>97</v>
      </c>
      <c r="L19" s="23" t="s">
        <v>98</v>
      </c>
      <c r="M19" s="23" t="s">
        <v>99</v>
      </c>
      <c r="N19" s="23" t="s">
        <v>71</v>
      </c>
      <c r="O19" s="23" t="s">
        <v>192</v>
      </c>
      <c r="P19" s="23"/>
      <c r="Q19" s="30" t="s">
        <v>134</v>
      </c>
      <c r="R19" s="23" t="s">
        <v>193</v>
      </c>
    </row>
    <row r="20" spans="1:18" ht="36" customHeight="1">
      <c r="A20" s="27" t="s">
        <v>194</v>
      </c>
      <c r="B20" s="27" t="s">
        <v>195</v>
      </c>
      <c r="C20" s="27" t="s">
        <v>196</v>
      </c>
      <c r="D20" s="27" t="s">
        <v>122</v>
      </c>
      <c r="E20" s="31" t="s">
        <v>138</v>
      </c>
      <c r="F20" s="27" t="s">
        <v>139</v>
      </c>
      <c r="G20" s="27"/>
      <c r="H20" s="27" t="s">
        <v>140</v>
      </c>
      <c r="I20" s="27"/>
      <c r="J20" s="27" t="s">
        <v>197</v>
      </c>
      <c r="K20" s="27" t="s">
        <v>198</v>
      </c>
      <c r="L20" s="27" t="s">
        <v>132</v>
      </c>
      <c r="M20" s="27" t="s">
        <v>99</v>
      </c>
      <c r="N20" s="27" t="s">
        <v>86</v>
      </c>
      <c r="O20" s="27" t="s">
        <v>199</v>
      </c>
      <c r="P20" s="27"/>
      <c r="Q20" s="30" t="s">
        <v>134</v>
      </c>
      <c r="R20" s="27" t="s">
        <v>200</v>
      </c>
    </row>
    <row r="21" spans="1:18" ht="36" customHeight="1">
      <c r="A21" s="23" t="s">
        <v>201</v>
      </c>
      <c r="B21" s="23" t="s">
        <v>202</v>
      </c>
      <c r="C21" s="23" t="s">
        <v>114</v>
      </c>
      <c r="D21" s="23" t="s">
        <v>105</v>
      </c>
      <c r="E21" s="29" t="s">
        <v>92</v>
      </c>
      <c r="F21" s="23" t="s">
        <v>93</v>
      </c>
      <c r="G21" s="23"/>
      <c r="H21" s="23" t="s">
        <v>106</v>
      </c>
      <c r="I21" s="23" t="s">
        <v>203</v>
      </c>
      <c r="J21" s="23" t="s">
        <v>204</v>
      </c>
      <c r="K21" s="23" t="s">
        <v>131</v>
      </c>
      <c r="L21" s="23" t="s">
        <v>149</v>
      </c>
      <c r="M21" s="23" t="s">
        <v>99</v>
      </c>
      <c r="N21" s="23" t="s">
        <v>86</v>
      </c>
      <c r="O21" s="23" t="s">
        <v>150</v>
      </c>
      <c r="P21" s="23"/>
      <c r="Q21" s="30" t="s">
        <v>134</v>
      </c>
      <c r="R21" s="23" t="s">
        <v>205</v>
      </c>
    </row>
    <row r="22" spans="1:18" ht="36" customHeight="1">
      <c r="A22" s="27" t="s">
        <v>206</v>
      </c>
      <c r="B22" s="27" t="s">
        <v>207</v>
      </c>
      <c r="C22" s="27" t="s">
        <v>114</v>
      </c>
      <c r="D22" s="27" t="s">
        <v>63</v>
      </c>
      <c r="E22" s="31" t="s">
        <v>138</v>
      </c>
      <c r="F22" s="27" t="s">
        <v>139</v>
      </c>
      <c r="G22" s="27"/>
      <c r="H22" s="27" t="s">
        <v>167</v>
      </c>
      <c r="I22" s="27"/>
      <c r="J22" s="27" t="s">
        <v>208</v>
      </c>
      <c r="K22" s="27" t="s">
        <v>209</v>
      </c>
      <c r="L22" s="27" t="s">
        <v>143</v>
      </c>
      <c r="M22" s="27" t="s">
        <v>99</v>
      </c>
      <c r="N22" s="27" t="s">
        <v>86</v>
      </c>
      <c r="O22" s="27" t="s">
        <v>110</v>
      </c>
      <c r="P22" s="27"/>
      <c r="Q22" s="33" t="s">
        <v>210</v>
      </c>
      <c r="R22" s="27" t="s">
        <v>211</v>
      </c>
    </row>
    <row r="23" spans="1:18" ht="36" customHeight="1">
      <c r="A23" s="23" t="s">
        <v>212</v>
      </c>
      <c r="B23" s="23" t="s">
        <v>213</v>
      </c>
      <c r="C23" s="23" t="s">
        <v>214</v>
      </c>
      <c r="D23" s="23" t="s">
        <v>122</v>
      </c>
      <c r="E23" s="31" t="s">
        <v>138</v>
      </c>
      <c r="F23" s="23" t="s">
        <v>139</v>
      </c>
      <c r="G23" s="23"/>
      <c r="H23" s="23" t="s">
        <v>66</v>
      </c>
      <c r="I23" s="23"/>
      <c r="J23" s="23" t="s">
        <v>215</v>
      </c>
      <c r="K23" s="23" t="s">
        <v>181</v>
      </c>
      <c r="L23" s="23" t="s">
        <v>132</v>
      </c>
      <c r="M23" s="23" t="s">
        <v>216</v>
      </c>
      <c r="N23" s="23" t="s">
        <v>217</v>
      </c>
      <c r="O23" s="23" t="s">
        <v>218</v>
      </c>
      <c r="P23" s="23"/>
      <c r="Q23" s="33" t="s">
        <v>210</v>
      </c>
      <c r="R23" s="23" t="s">
        <v>219</v>
      </c>
    </row>
    <row r="24" spans="1:18" ht="36" customHeight="1">
      <c r="A24" s="27" t="s">
        <v>220</v>
      </c>
      <c r="B24" s="27"/>
      <c r="C24" s="27" t="s">
        <v>114</v>
      </c>
      <c r="D24" s="27" t="s">
        <v>63</v>
      </c>
      <c r="E24" s="31" t="s">
        <v>138</v>
      </c>
      <c r="F24" s="27" t="s">
        <v>139</v>
      </c>
      <c r="G24" s="27"/>
      <c r="H24" s="27" t="s">
        <v>66</v>
      </c>
      <c r="I24" s="27"/>
      <c r="J24" s="27" t="s">
        <v>221</v>
      </c>
      <c r="K24" s="27" t="s">
        <v>198</v>
      </c>
      <c r="L24" s="27" t="s">
        <v>132</v>
      </c>
      <c r="M24" s="27" t="s">
        <v>99</v>
      </c>
      <c r="N24" s="27" t="s">
        <v>86</v>
      </c>
      <c r="O24" s="27" t="s">
        <v>110</v>
      </c>
      <c r="P24" s="27"/>
      <c r="Q24" s="33" t="s">
        <v>210</v>
      </c>
      <c r="R24" s="27" t="s">
        <v>222</v>
      </c>
    </row>
    <row r="25" spans="1:18" ht="36" customHeight="1">
      <c r="A25" s="27" t="s">
        <v>223</v>
      </c>
      <c r="B25" s="27" t="s">
        <v>224</v>
      </c>
      <c r="C25" s="27" t="s">
        <v>225</v>
      </c>
      <c r="D25" s="27" t="s">
        <v>122</v>
      </c>
      <c r="E25" s="29" t="s">
        <v>92</v>
      </c>
      <c r="F25" s="27"/>
      <c r="G25" s="27"/>
      <c r="H25" s="27" t="s">
        <v>66</v>
      </c>
      <c r="I25" s="27"/>
      <c r="J25" s="27" t="s">
        <v>226</v>
      </c>
      <c r="K25" s="82">
        <v>46113</v>
      </c>
      <c r="L25" s="27"/>
      <c r="M25" s="27" t="s">
        <v>99</v>
      </c>
      <c r="N25" s="27" t="s">
        <v>86</v>
      </c>
      <c r="O25" s="27" t="s">
        <v>227</v>
      </c>
      <c r="P25" s="27"/>
      <c r="Q25" s="30" t="s">
        <v>134</v>
      </c>
      <c r="R25" s="27"/>
    </row>
    <row r="26" spans="1:18" ht="36" customHeight="1">
      <c r="A26" s="23" t="s">
        <v>228</v>
      </c>
      <c r="B26" s="23" t="s">
        <v>229</v>
      </c>
      <c r="C26" s="23" t="s">
        <v>114</v>
      </c>
      <c r="D26" s="23" t="s">
        <v>105</v>
      </c>
      <c r="E26" s="31" t="s">
        <v>138</v>
      </c>
      <c r="F26" s="23" t="s">
        <v>139</v>
      </c>
      <c r="G26" s="25">
        <v>50000</v>
      </c>
      <c r="H26" s="23" t="s">
        <v>66</v>
      </c>
      <c r="I26" s="23"/>
      <c r="J26" s="23" t="s">
        <v>230</v>
      </c>
      <c r="K26" s="23" t="s">
        <v>209</v>
      </c>
      <c r="L26" s="23" t="s">
        <v>231</v>
      </c>
      <c r="M26" s="23" t="s">
        <v>216</v>
      </c>
      <c r="N26" s="23" t="s">
        <v>217</v>
      </c>
      <c r="O26" s="23" t="s">
        <v>133</v>
      </c>
      <c r="P26" s="23"/>
      <c r="Q26" s="33" t="s">
        <v>210</v>
      </c>
      <c r="R26" s="23" t="s">
        <v>232</v>
      </c>
    </row>
  </sheetData>
  <autoFilter ref="A4:R26" xr:uid="{00000000-0009-0000-0000-000001000000}"/>
  <mergeCells count="1">
    <mergeCell ref="A2:R2"/>
  </mergeCells>
  <dataValidations count="4">
    <dataValidation type="list" allowBlank="1" sqref="E5:E301" xr:uid="{00000000-0002-0000-0100-000000000000}">
      <formula1>"Identified,Outreach Initiated,Meeting Booked,Discovery Complete,Proposal Sent,Negotiating,Closed Won,Closed Lost"</formula1>
      <formula2>0</formula2>
    </dataValidation>
    <dataValidation type="list" allowBlank="1" sqref="D5:D301" xr:uid="{00000000-0002-0000-0100-000001000000}">
      <formula1>"Platform (Artifi),Expert Services,Platform + Services,ServiceNow Channel,Advisory"</formula1>
      <formula2>0</formula2>
    </dataValidation>
    <dataValidation type="list" allowBlank="1" sqref="H5:H301" xr:uid="{00000000-0002-0000-0100-000002000000}">
      <formula1>"VS,BK,SJ,RS,VS+BK,BK+SJ,VS+SJ,VS+BK+SJ,TBD"</formula1>
      <formula2>0</formula2>
    </dataValidation>
    <dataValidation type="list" allowBlank="1" sqref="Q5:Q301" xr:uid="{00000000-0002-0000-0100-000003000000}">
      <formula1>"🔴 High,🟡 Medium,🟢 Low,⏸ On Hold"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B4F72"/>
  </sheetPr>
  <dimension ref="A2:M151"/>
  <sheetViews>
    <sheetView showGridLines="0" zoomScaleNormal="100" workbookViewId="0">
      <pane ySplit="4" topLeftCell="A67" activePane="bottomLeft" state="frozen"/>
      <selection pane="bottomLeft" activeCell="L74" sqref="L74"/>
    </sheetView>
  </sheetViews>
  <sheetFormatPr defaultColWidth="8.7109375" defaultRowHeight="15"/>
  <cols>
    <col min="1" max="1" width="20" customWidth="1"/>
    <col min="2" max="3" width="14" customWidth="1"/>
    <col min="4" max="4" width="24" customWidth="1"/>
    <col min="5" max="5" width="26" customWidth="1"/>
    <col min="6" max="6" width="28" customWidth="1"/>
    <col min="7" max="8" width="14" customWidth="1"/>
    <col min="9" max="9" width="16" customWidth="1"/>
    <col min="10" max="10" width="18" customWidth="1"/>
    <col min="11" max="11" width="12" customWidth="1"/>
    <col min="12" max="12" width="30" customWidth="1"/>
    <col min="13" max="13" width="1" customWidth="1"/>
  </cols>
  <sheetData>
    <row r="2" spans="1:13" ht="36" customHeight="1">
      <c r="A2" s="83" t="s">
        <v>233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3" ht="6" customHeight="1"/>
    <row r="4" spans="1:13" ht="27.75" customHeight="1">
      <c r="A4" s="22" t="s">
        <v>10</v>
      </c>
      <c r="B4" s="22" t="s">
        <v>8</v>
      </c>
      <c r="C4" s="22" t="s">
        <v>9</v>
      </c>
      <c r="D4" s="22" t="s">
        <v>16</v>
      </c>
      <c r="E4" s="22" t="s">
        <v>17</v>
      </c>
      <c r="F4" s="22" t="s">
        <v>18</v>
      </c>
      <c r="G4" s="22" t="s">
        <v>234</v>
      </c>
      <c r="H4" s="22" t="s">
        <v>19</v>
      </c>
      <c r="I4" s="22" t="s">
        <v>20</v>
      </c>
      <c r="J4" s="22" t="s">
        <v>235</v>
      </c>
      <c r="K4" s="22" t="s">
        <v>236</v>
      </c>
      <c r="L4" s="22" t="s">
        <v>34</v>
      </c>
      <c r="M4" s="34" t="s">
        <v>237</v>
      </c>
    </row>
    <row r="5" spans="1:13" ht="19.5" customHeight="1">
      <c r="A5" s="35" t="s">
        <v>238</v>
      </c>
      <c r="B5" s="35" t="s">
        <v>239</v>
      </c>
      <c r="C5" s="35" t="s">
        <v>240</v>
      </c>
      <c r="D5" s="35" t="s">
        <v>241</v>
      </c>
      <c r="E5" s="35" t="s">
        <v>242</v>
      </c>
      <c r="F5" s="35" t="s">
        <v>243</v>
      </c>
      <c r="G5" s="35"/>
      <c r="H5" s="35" t="s">
        <v>244</v>
      </c>
      <c r="I5" s="24" t="s">
        <v>184</v>
      </c>
      <c r="J5" s="35" t="s">
        <v>71</v>
      </c>
      <c r="K5" s="35" t="s">
        <v>245</v>
      </c>
      <c r="L5" s="35" t="s">
        <v>246</v>
      </c>
      <c r="M5" s="4" t="str">
        <f t="shared" ref="M5:M36" si="0">LOWER(B5&amp;" "&amp;C5&amp;" "&amp;A5&amp;" "&amp;D5)</f>
        <v>melissa petrowsky assurant vice president of product management</v>
      </c>
    </row>
    <row r="6" spans="1:13" ht="19.5" customHeight="1">
      <c r="A6" s="36" t="s">
        <v>177</v>
      </c>
      <c r="B6" s="36" t="s">
        <v>247</v>
      </c>
      <c r="C6" s="36" t="s">
        <v>248</v>
      </c>
      <c r="D6" s="36" t="s">
        <v>249</v>
      </c>
      <c r="E6" s="36" t="s">
        <v>250</v>
      </c>
      <c r="F6" s="36" t="s">
        <v>251</v>
      </c>
      <c r="G6" s="36"/>
      <c r="H6" s="36" t="s">
        <v>244</v>
      </c>
      <c r="I6" s="24" t="s">
        <v>184</v>
      </c>
      <c r="J6" s="36" t="s">
        <v>71</v>
      </c>
      <c r="K6" s="36" t="s">
        <v>245</v>
      </c>
      <c r="L6" s="36" t="s">
        <v>246</v>
      </c>
      <c r="M6" s="4" t="str">
        <f t="shared" si="0"/>
        <v>stewart murchie gallagher vp global operations &amp; strategy</v>
      </c>
    </row>
    <row r="7" spans="1:13" ht="19.5" customHeight="1">
      <c r="A7" s="35" t="s">
        <v>177</v>
      </c>
      <c r="B7" s="35" t="s">
        <v>252</v>
      </c>
      <c r="C7" s="35" t="s">
        <v>253</v>
      </c>
      <c r="D7" s="35" t="s">
        <v>254</v>
      </c>
      <c r="E7" s="35" t="s">
        <v>255</v>
      </c>
      <c r="F7" s="35" t="s">
        <v>256</v>
      </c>
      <c r="G7" s="35"/>
      <c r="H7" s="35" t="s">
        <v>244</v>
      </c>
      <c r="I7" s="24" t="s">
        <v>184</v>
      </c>
      <c r="J7" s="35" t="s">
        <v>71</v>
      </c>
      <c r="K7" s="35" t="s">
        <v>245</v>
      </c>
      <c r="L7" s="35" t="s">
        <v>246</v>
      </c>
      <c r="M7" s="4" t="str">
        <f t="shared" si="0"/>
        <v>benoît kéruzoré gallagher chief financial officer</v>
      </c>
    </row>
    <row r="8" spans="1:13" ht="19.5" customHeight="1">
      <c r="A8" s="36" t="s">
        <v>257</v>
      </c>
      <c r="B8" s="36" t="s">
        <v>258</v>
      </c>
      <c r="C8" s="36" t="s">
        <v>259</v>
      </c>
      <c r="D8" s="36" t="s">
        <v>260</v>
      </c>
      <c r="E8" s="36" t="s">
        <v>261</v>
      </c>
      <c r="F8" s="36" t="s">
        <v>262</v>
      </c>
      <c r="G8" s="36"/>
      <c r="H8" s="36" t="s">
        <v>244</v>
      </c>
      <c r="I8" s="24" t="s">
        <v>184</v>
      </c>
      <c r="J8" s="36" t="s">
        <v>71</v>
      </c>
      <c r="K8" s="36" t="s">
        <v>245</v>
      </c>
      <c r="L8" s="36" t="s">
        <v>246</v>
      </c>
      <c r="M8" s="4" t="str">
        <f t="shared" si="0"/>
        <v>shaun guinan liberty mutual underwriting officer</v>
      </c>
    </row>
    <row r="9" spans="1:13" ht="19.5" customHeight="1">
      <c r="A9" s="35" t="s">
        <v>257</v>
      </c>
      <c r="B9" s="35" t="s">
        <v>263</v>
      </c>
      <c r="C9" s="35" t="s">
        <v>264</v>
      </c>
      <c r="D9" s="35" t="s">
        <v>265</v>
      </c>
      <c r="E9" s="35" t="s">
        <v>266</v>
      </c>
      <c r="F9" s="35" t="s">
        <v>267</v>
      </c>
      <c r="G9" s="35"/>
      <c r="H9" s="35" t="s">
        <v>244</v>
      </c>
      <c r="I9" s="24" t="s">
        <v>184</v>
      </c>
      <c r="J9" s="35" t="s">
        <v>71</v>
      </c>
      <c r="K9" s="35" t="s">
        <v>245</v>
      </c>
      <c r="L9" s="35" t="s">
        <v>246</v>
      </c>
      <c r="M9" s="4" t="str">
        <f t="shared" si="0"/>
        <v>kenny reed liberty mutual vp underwriting manager</v>
      </c>
    </row>
    <row r="10" spans="1:13" ht="19.5" customHeight="1">
      <c r="A10" s="36" t="s">
        <v>257</v>
      </c>
      <c r="B10" s="36" t="s">
        <v>268</v>
      </c>
      <c r="C10" s="36" t="s">
        <v>269</v>
      </c>
      <c r="D10" s="36" t="s">
        <v>270</v>
      </c>
      <c r="E10" s="36" t="s">
        <v>271</v>
      </c>
      <c r="F10" s="36" t="s">
        <v>272</v>
      </c>
      <c r="G10" s="36"/>
      <c r="H10" s="36" t="s">
        <v>244</v>
      </c>
      <c r="I10" s="24" t="s">
        <v>184</v>
      </c>
      <c r="J10" s="36" t="s">
        <v>71</v>
      </c>
      <c r="K10" s="36" t="s">
        <v>245</v>
      </c>
      <c r="L10" s="36" t="s">
        <v>246</v>
      </c>
      <c r="M10" s="4" t="str">
        <f t="shared" si="0"/>
        <v>vicki mullen liberty mutual head of distribution and marketing</v>
      </c>
    </row>
    <row r="11" spans="1:13" ht="19.5" customHeight="1">
      <c r="A11" s="35" t="s">
        <v>257</v>
      </c>
      <c r="B11" s="35" t="s">
        <v>273</v>
      </c>
      <c r="C11" s="35" t="s">
        <v>274</v>
      </c>
      <c r="D11" s="35" t="s">
        <v>275</v>
      </c>
      <c r="E11" s="35" t="s">
        <v>276</v>
      </c>
      <c r="F11" s="35" t="s">
        <v>277</v>
      </c>
      <c r="G11" s="35"/>
      <c r="H11" s="35" t="s">
        <v>244</v>
      </c>
      <c r="I11" s="24" t="s">
        <v>184</v>
      </c>
      <c r="J11" s="35" t="s">
        <v>71</v>
      </c>
      <c r="K11" s="35" t="s">
        <v>245</v>
      </c>
      <c r="L11" s="35" t="s">
        <v>246</v>
      </c>
      <c r="M11" s="4" t="str">
        <f t="shared" si="0"/>
        <v>matthew henry liberty mutual director of underwriting technology</v>
      </c>
    </row>
    <row r="12" spans="1:13" ht="19.5" customHeight="1">
      <c r="A12" s="36" t="s">
        <v>257</v>
      </c>
      <c r="B12" s="36" t="s">
        <v>278</v>
      </c>
      <c r="C12" s="36" t="s">
        <v>279</v>
      </c>
      <c r="D12" s="36" t="s">
        <v>280</v>
      </c>
      <c r="E12" s="36" t="s">
        <v>281</v>
      </c>
      <c r="F12" s="36" t="s">
        <v>282</v>
      </c>
      <c r="G12" s="36"/>
      <c r="H12" s="36" t="s">
        <v>244</v>
      </c>
      <c r="I12" s="24" t="s">
        <v>184</v>
      </c>
      <c r="J12" s="36" t="s">
        <v>71</v>
      </c>
      <c r="K12" s="36" t="s">
        <v>245</v>
      </c>
      <c r="L12" s="36" t="s">
        <v>246</v>
      </c>
      <c r="M12" s="4" t="str">
        <f t="shared" si="0"/>
        <v>tushar mishra liberty mutual director of data science</v>
      </c>
    </row>
    <row r="13" spans="1:13" ht="19.5" customHeight="1">
      <c r="A13" s="35" t="s">
        <v>257</v>
      </c>
      <c r="B13" s="35" t="s">
        <v>283</v>
      </c>
      <c r="C13" s="35" t="s">
        <v>284</v>
      </c>
      <c r="D13" s="35" t="s">
        <v>285</v>
      </c>
      <c r="E13" s="35" t="s">
        <v>286</v>
      </c>
      <c r="F13" s="35" t="s">
        <v>287</v>
      </c>
      <c r="G13" s="35"/>
      <c r="H13" s="35" t="s">
        <v>244</v>
      </c>
      <c r="I13" s="24" t="s">
        <v>184</v>
      </c>
      <c r="J13" s="35" t="s">
        <v>71</v>
      </c>
      <c r="K13" s="35" t="s">
        <v>245</v>
      </c>
      <c r="L13" s="35" t="s">
        <v>246</v>
      </c>
      <c r="M13" s="4" t="str">
        <f t="shared" si="0"/>
        <v xml:space="preserve">kyle kidwell liberty mutual director of underwriting  </v>
      </c>
    </row>
    <row r="14" spans="1:13" ht="19.5" customHeight="1">
      <c r="A14" s="36" t="s">
        <v>257</v>
      </c>
      <c r="B14" s="36" t="s">
        <v>288</v>
      </c>
      <c r="C14" s="36" t="s">
        <v>289</v>
      </c>
      <c r="D14" s="36" t="s">
        <v>290</v>
      </c>
      <c r="E14" s="36" t="s">
        <v>291</v>
      </c>
      <c r="F14" s="36" t="s">
        <v>292</v>
      </c>
      <c r="G14" s="36"/>
      <c r="H14" s="36" t="s">
        <v>244</v>
      </c>
      <c r="I14" s="24" t="s">
        <v>184</v>
      </c>
      <c r="J14" s="36" t="s">
        <v>71</v>
      </c>
      <c r="K14" s="36" t="s">
        <v>245</v>
      </c>
      <c r="L14" s="36" t="s">
        <v>246</v>
      </c>
      <c r="M14" s="4" t="str">
        <f t="shared" si="0"/>
        <v>jill farrell liberty mutual senior director of product</v>
      </c>
    </row>
    <row r="15" spans="1:13" ht="19.5" customHeight="1">
      <c r="A15" s="35" t="s">
        <v>257</v>
      </c>
      <c r="B15" s="35" t="s">
        <v>273</v>
      </c>
      <c r="C15" s="35" t="s">
        <v>293</v>
      </c>
      <c r="D15" s="35" t="s">
        <v>294</v>
      </c>
      <c r="E15" s="35" t="s">
        <v>295</v>
      </c>
      <c r="F15" s="35" t="s">
        <v>296</v>
      </c>
      <c r="G15" s="35"/>
      <c r="H15" s="35" t="s">
        <v>244</v>
      </c>
      <c r="I15" s="24" t="s">
        <v>184</v>
      </c>
      <c r="J15" s="35" t="s">
        <v>71</v>
      </c>
      <c r="K15" s="35" t="s">
        <v>245</v>
      </c>
      <c r="L15" s="35" t="s">
        <v>246</v>
      </c>
      <c r="M15" s="4" t="str">
        <f t="shared" si="0"/>
        <v>matthew shapiro liberty mutual director, underwriting transformation</v>
      </c>
    </row>
    <row r="16" spans="1:13" ht="19.5" customHeight="1">
      <c r="A16" s="36" t="s">
        <v>257</v>
      </c>
      <c r="B16" s="36" t="s">
        <v>297</v>
      </c>
      <c r="C16" s="36" t="s">
        <v>298</v>
      </c>
      <c r="D16" s="36" t="s">
        <v>299</v>
      </c>
      <c r="E16" s="36" t="s">
        <v>300</v>
      </c>
      <c r="F16" s="36" t="s">
        <v>301</v>
      </c>
      <c r="G16" s="36"/>
      <c r="H16" s="36" t="s">
        <v>244</v>
      </c>
      <c r="I16" s="24" t="s">
        <v>184</v>
      </c>
      <c r="J16" s="36" t="s">
        <v>71</v>
      </c>
      <c r="K16" s="36" t="s">
        <v>245</v>
      </c>
      <c r="L16" s="36" t="s">
        <v>246</v>
      </c>
      <c r="M16" s="4" t="str">
        <f t="shared" si="0"/>
        <v>anna stankiewicz liberty mutual director of personal lines underwriting</v>
      </c>
    </row>
    <row r="17" spans="1:13" ht="19.5" customHeight="1">
      <c r="A17" s="35" t="s">
        <v>257</v>
      </c>
      <c r="B17" s="35" t="s">
        <v>302</v>
      </c>
      <c r="C17" s="35" t="s">
        <v>303</v>
      </c>
      <c r="D17" s="35" t="s">
        <v>304</v>
      </c>
      <c r="E17" s="35" t="s">
        <v>305</v>
      </c>
      <c r="F17" s="35" t="s">
        <v>306</v>
      </c>
      <c r="G17" s="35"/>
      <c r="H17" s="35" t="s">
        <v>244</v>
      </c>
      <c r="I17" s="24" t="s">
        <v>184</v>
      </c>
      <c r="J17" s="35" t="s">
        <v>71</v>
      </c>
      <c r="K17" s="35" t="s">
        <v>245</v>
      </c>
      <c r="L17" s="35" t="s">
        <v>246</v>
      </c>
      <c r="M17" s="4" t="str">
        <f t="shared" si="0"/>
        <v>rick hinman liberty mutual head of delivery center</v>
      </c>
    </row>
    <row r="18" spans="1:13" ht="19.5" customHeight="1">
      <c r="A18" s="36" t="s">
        <v>257</v>
      </c>
      <c r="B18" s="36" t="s">
        <v>307</v>
      </c>
      <c r="C18" s="36" t="s">
        <v>308</v>
      </c>
      <c r="D18" s="36" t="s">
        <v>309</v>
      </c>
      <c r="E18" s="36" t="s">
        <v>310</v>
      </c>
      <c r="F18" s="36" t="s">
        <v>311</v>
      </c>
      <c r="G18" s="36"/>
      <c r="H18" s="36" t="s">
        <v>244</v>
      </c>
      <c r="I18" s="24" t="s">
        <v>184</v>
      </c>
      <c r="J18" s="36" t="s">
        <v>71</v>
      </c>
      <c r="K18" s="36" t="s">
        <v>245</v>
      </c>
      <c r="L18" s="36" t="s">
        <v>246</v>
      </c>
      <c r="M18" s="4" t="str">
        <f t="shared" si="0"/>
        <v>lingmin jiang liberty mutual director i, data science</v>
      </c>
    </row>
    <row r="19" spans="1:13" ht="19.5" customHeight="1">
      <c r="A19" s="35" t="s">
        <v>257</v>
      </c>
      <c r="B19" s="35" t="s">
        <v>312</v>
      </c>
      <c r="C19" s="35" t="s">
        <v>313</v>
      </c>
      <c r="D19" s="35" t="s">
        <v>314</v>
      </c>
      <c r="E19" s="35" t="s">
        <v>315</v>
      </c>
      <c r="F19" s="35" t="s">
        <v>316</v>
      </c>
      <c r="G19" s="35"/>
      <c r="H19" s="35" t="s">
        <v>244</v>
      </c>
      <c r="I19" s="24" t="s">
        <v>184</v>
      </c>
      <c r="J19" s="35" t="s">
        <v>71</v>
      </c>
      <c r="K19" s="35" t="s">
        <v>245</v>
      </c>
      <c r="L19" s="35" t="s">
        <v>246</v>
      </c>
      <c r="M19" s="4" t="str">
        <f t="shared" si="0"/>
        <v>joe rocco liberty mutual director ii, data science</v>
      </c>
    </row>
    <row r="20" spans="1:13" ht="19.5" customHeight="1">
      <c r="A20" s="36" t="s">
        <v>257</v>
      </c>
      <c r="B20" s="36" t="s">
        <v>317</v>
      </c>
      <c r="C20" s="36" t="s">
        <v>318</v>
      </c>
      <c r="D20" s="36" t="s">
        <v>319</v>
      </c>
      <c r="E20" s="36" t="s">
        <v>320</v>
      </c>
      <c r="F20" s="36" t="s">
        <v>321</v>
      </c>
      <c r="G20" s="36"/>
      <c r="H20" s="36" t="s">
        <v>244</v>
      </c>
      <c r="I20" s="24" t="s">
        <v>184</v>
      </c>
      <c r="J20" s="36" t="s">
        <v>71</v>
      </c>
      <c r="K20" s="36" t="s">
        <v>245</v>
      </c>
      <c r="L20" s="36" t="s">
        <v>246</v>
      </c>
      <c r="M20" s="4" t="str">
        <f t="shared" si="0"/>
        <v>jennifer hennessy liberty mutual avp, sr. underwriting officer</v>
      </c>
    </row>
    <row r="21" spans="1:13" ht="19.5" customHeight="1">
      <c r="A21" s="35" t="s">
        <v>257</v>
      </c>
      <c r="B21" s="35" t="s">
        <v>322</v>
      </c>
      <c r="C21" s="35" t="s">
        <v>323</v>
      </c>
      <c r="D21" s="35" t="s">
        <v>324</v>
      </c>
      <c r="E21" s="35" t="s">
        <v>325</v>
      </c>
      <c r="F21" s="35" t="s">
        <v>326</v>
      </c>
      <c r="G21" s="35"/>
      <c r="H21" s="35" t="s">
        <v>244</v>
      </c>
      <c r="I21" s="24" t="s">
        <v>184</v>
      </c>
      <c r="J21" s="35" t="s">
        <v>71</v>
      </c>
      <c r="K21" s="35" t="s">
        <v>245</v>
      </c>
      <c r="L21" s="35" t="s">
        <v>246</v>
      </c>
      <c r="M21" s="4" t="str">
        <f t="shared" si="0"/>
        <v>stephen jones liberty mutual director of advanced analytics</v>
      </c>
    </row>
    <row r="22" spans="1:13" ht="19.5" customHeight="1">
      <c r="A22" s="36" t="s">
        <v>327</v>
      </c>
      <c r="B22" s="36" t="s">
        <v>328</v>
      </c>
      <c r="C22" s="36" t="s">
        <v>329</v>
      </c>
      <c r="D22" s="36" t="s">
        <v>330</v>
      </c>
      <c r="E22" s="36" t="s">
        <v>331</v>
      </c>
      <c r="F22" s="36" t="s">
        <v>332</v>
      </c>
      <c r="G22" s="36"/>
      <c r="H22" s="36" t="s">
        <v>244</v>
      </c>
      <c r="I22" s="24" t="s">
        <v>184</v>
      </c>
      <c r="J22" s="36" t="s">
        <v>71</v>
      </c>
      <c r="K22" s="36" t="s">
        <v>245</v>
      </c>
      <c r="L22" s="36" t="s">
        <v>246</v>
      </c>
      <c r="M22" s="4" t="str">
        <f t="shared" si="0"/>
        <v>keith driscoll everest vice president of claims</v>
      </c>
    </row>
    <row r="23" spans="1:13" ht="19.5" customHeight="1">
      <c r="A23" s="35" t="s">
        <v>327</v>
      </c>
      <c r="B23" s="35" t="s">
        <v>333</v>
      </c>
      <c r="C23" s="35" t="s">
        <v>334</v>
      </c>
      <c r="D23" s="35" t="s">
        <v>335</v>
      </c>
      <c r="E23" s="35" t="s">
        <v>336</v>
      </c>
      <c r="F23" s="35" t="s">
        <v>337</v>
      </c>
      <c r="G23" s="35"/>
      <c r="H23" s="35" t="s">
        <v>244</v>
      </c>
      <c r="I23" s="24" t="s">
        <v>184</v>
      </c>
      <c r="J23" s="35" t="s">
        <v>71</v>
      </c>
      <c r="K23" s="35" t="s">
        <v>245</v>
      </c>
      <c r="L23" s="35" t="s">
        <v>246</v>
      </c>
      <c r="M23" s="4" t="str">
        <f t="shared" si="0"/>
        <v>jeremy steiner everest avp, underwriting manager</v>
      </c>
    </row>
    <row r="24" spans="1:13" ht="19.5" customHeight="1">
      <c r="A24" s="36" t="s">
        <v>327</v>
      </c>
      <c r="B24" s="36" t="s">
        <v>338</v>
      </c>
      <c r="C24" s="36" t="s">
        <v>339</v>
      </c>
      <c r="D24" s="36" t="s">
        <v>340</v>
      </c>
      <c r="E24" s="36" t="s">
        <v>341</v>
      </c>
      <c r="F24" s="36" t="s">
        <v>342</v>
      </c>
      <c r="G24" s="36"/>
      <c r="H24" s="36" t="s">
        <v>244</v>
      </c>
      <c r="I24" s="24" t="s">
        <v>184</v>
      </c>
      <c r="J24" s="36" t="s">
        <v>71</v>
      </c>
      <c r="K24" s="36" t="s">
        <v>245</v>
      </c>
      <c r="L24" s="36" t="s">
        <v>246</v>
      </c>
      <c r="M24" s="4" t="str">
        <f t="shared" si="0"/>
        <v>shawn murphy everest director of claims</v>
      </c>
    </row>
    <row r="25" spans="1:13" ht="19.5" customHeight="1">
      <c r="A25" s="35" t="s">
        <v>327</v>
      </c>
      <c r="B25" s="35" t="s">
        <v>343</v>
      </c>
      <c r="C25" s="35" t="s">
        <v>344</v>
      </c>
      <c r="D25" s="35" t="s">
        <v>345</v>
      </c>
      <c r="E25" s="35" t="s">
        <v>346</v>
      </c>
      <c r="F25" s="35" t="s">
        <v>347</v>
      </c>
      <c r="G25" s="35"/>
      <c r="H25" s="35" t="s">
        <v>244</v>
      </c>
      <c r="I25" s="24" t="s">
        <v>184</v>
      </c>
      <c r="J25" s="35" t="s">
        <v>71</v>
      </c>
      <c r="K25" s="35" t="s">
        <v>245</v>
      </c>
      <c r="L25" s="35" t="s">
        <v>246</v>
      </c>
      <c r="M25" s="4" t="str">
        <f t="shared" si="0"/>
        <v>michael dobson everest chief claims officer</v>
      </c>
    </row>
    <row r="26" spans="1:13" ht="19.5" customHeight="1">
      <c r="A26" s="36" t="s">
        <v>327</v>
      </c>
      <c r="B26" s="36" t="s">
        <v>348</v>
      </c>
      <c r="C26" s="36" t="s">
        <v>349</v>
      </c>
      <c r="D26" s="36" t="s">
        <v>350</v>
      </c>
      <c r="E26" s="36" t="s">
        <v>351</v>
      </c>
      <c r="F26" s="36" t="s">
        <v>352</v>
      </c>
      <c r="G26" s="36"/>
      <c r="H26" s="36" t="s">
        <v>244</v>
      </c>
      <c r="I26" s="24" t="s">
        <v>184</v>
      </c>
      <c r="J26" s="36" t="s">
        <v>71</v>
      </c>
      <c r="K26" s="36" t="s">
        <v>245</v>
      </c>
      <c r="L26" s="36" t="s">
        <v>246</v>
      </c>
      <c r="M26" s="4" t="str">
        <f t="shared" si="0"/>
        <v>kevin ruppell everest director of reinsurance claims</v>
      </c>
    </row>
    <row r="27" spans="1:13" ht="19.5" customHeight="1">
      <c r="A27" s="35" t="s">
        <v>327</v>
      </c>
      <c r="B27" s="35" t="s">
        <v>353</v>
      </c>
      <c r="C27" s="35" t="s">
        <v>354</v>
      </c>
      <c r="D27" s="35" t="s">
        <v>355</v>
      </c>
      <c r="E27" s="35" t="s">
        <v>356</v>
      </c>
      <c r="F27" s="35" t="s">
        <v>357</v>
      </c>
      <c r="G27" s="35"/>
      <c r="H27" s="35" t="s">
        <v>244</v>
      </c>
      <c r="I27" s="24" t="s">
        <v>184</v>
      </c>
      <c r="J27" s="35" t="s">
        <v>71</v>
      </c>
      <c r="K27" s="35" t="s">
        <v>245</v>
      </c>
      <c r="L27" s="35" t="s">
        <v>246</v>
      </c>
      <c r="M27" s="4" t="str">
        <f t="shared" si="0"/>
        <v>timothy costello everest vp product development</v>
      </c>
    </row>
    <row r="28" spans="1:13" ht="19.5" customHeight="1">
      <c r="A28" s="36" t="s">
        <v>358</v>
      </c>
      <c r="B28" s="36" t="s">
        <v>359</v>
      </c>
      <c r="C28" s="36" t="s">
        <v>360</v>
      </c>
      <c r="D28" s="36" t="s">
        <v>361</v>
      </c>
      <c r="E28" s="36" t="s">
        <v>362</v>
      </c>
      <c r="F28" s="36" t="s">
        <v>363</v>
      </c>
      <c r="G28" s="36"/>
      <c r="H28" s="36" t="s">
        <v>244</v>
      </c>
      <c r="I28" s="24" t="s">
        <v>184</v>
      </c>
      <c r="J28" s="36" t="s">
        <v>71</v>
      </c>
      <c r="K28" s="36" t="s">
        <v>245</v>
      </c>
      <c r="L28" s="36" t="s">
        <v>246</v>
      </c>
      <c r="M28" s="4" t="str">
        <f t="shared" si="0"/>
        <v>mary eckert pacific life evp and cido</v>
      </c>
    </row>
    <row r="29" spans="1:13" ht="19.5" customHeight="1">
      <c r="A29" s="35" t="s">
        <v>358</v>
      </c>
      <c r="B29" s="35" t="s">
        <v>364</v>
      </c>
      <c r="C29" s="35" t="s">
        <v>365</v>
      </c>
      <c r="D29" s="35" t="s">
        <v>366</v>
      </c>
      <c r="E29" s="35" t="s">
        <v>367</v>
      </c>
      <c r="F29" s="35" t="s">
        <v>368</v>
      </c>
      <c r="G29" s="35"/>
      <c r="H29" s="35" t="s">
        <v>244</v>
      </c>
      <c r="I29" s="24" t="s">
        <v>184</v>
      </c>
      <c r="J29" s="35" t="s">
        <v>71</v>
      </c>
      <c r="K29" s="35" t="s">
        <v>245</v>
      </c>
      <c r="L29" s="35" t="s">
        <v>246</v>
      </c>
      <c r="M29" s="4" t="str">
        <f t="shared" si="0"/>
        <v>diana rehnberg pacific life interim chief data officer</v>
      </c>
    </row>
    <row r="30" spans="1:13" ht="19.5" customHeight="1">
      <c r="A30" s="36" t="s">
        <v>369</v>
      </c>
      <c r="B30" s="36" t="s">
        <v>370</v>
      </c>
      <c r="C30" s="36" t="s">
        <v>371</v>
      </c>
      <c r="D30" s="36" t="s">
        <v>372</v>
      </c>
      <c r="E30" s="36" t="s">
        <v>373</v>
      </c>
      <c r="F30" s="36" t="s">
        <v>374</v>
      </c>
      <c r="G30" s="36"/>
      <c r="H30" s="36" t="s">
        <v>244</v>
      </c>
      <c r="I30" s="24" t="s">
        <v>184</v>
      </c>
      <c r="J30" s="36" t="s">
        <v>71</v>
      </c>
      <c r="K30" s="36" t="s">
        <v>245</v>
      </c>
      <c r="L30" s="36" t="s">
        <v>246</v>
      </c>
      <c r="M30" s="4" t="str">
        <f t="shared" si="0"/>
        <v xml:space="preserve">brian greaney massmutual director - enterprise technology </v>
      </c>
    </row>
    <row r="31" spans="1:13" ht="19.5" customHeight="1">
      <c r="A31" s="35" t="s">
        <v>369</v>
      </c>
      <c r="B31" s="35" t="s">
        <v>375</v>
      </c>
      <c r="C31" s="35" t="s">
        <v>376</v>
      </c>
      <c r="D31" s="35" t="s">
        <v>377</v>
      </c>
      <c r="E31" s="35" t="s">
        <v>378</v>
      </c>
      <c r="F31" s="35" t="s">
        <v>379</v>
      </c>
      <c r="G31" s="35"/>
      <c r="H31" s="35" t="s">
        <v>244</v>
      </c>
      <c r="I31" s="24" t="s">
        <v>184</v>
      </c>
      <c r="J31" s="35" t="s">
        <v>71</v>
      </c>
      <c r="K31" s="35" t="s">
        <v>245</v>
      </c>
      <c r="L31" s="35" t="s">
        <v>246</v>
      </c>
      <c r="M31" s="4" t="str">
        <f t="shared" si="0"/>
        <v>manick rathinasamy massmutual director, product technology</v>
      </c>
    </row>
    <row r="32" spans="1:13" ht="19.5" customHeight="1">
      <c r="A32" s="36" t="s">
        <v>369</v>
      </c>
      <c r="B32" s="36" t="s">
        <v>380</v>
      </c>
      <c r="C32" s="36" t="s">
        <v>381</v>
      </c>
      <c r="D32" s="36" t="s">
        <v>382</v>
      </c>
      <c r="E32" s="36" t="s">
        <v>383</v>
      </c>
      <c r="F32" s="36" t="s">
        <v>384</v>
      </c>
      <c r="G32" s="36"/>
      <c r="H32" s="36" t="s">
        <v>244</v>
      </c>
      <c r="I32" s="24" t="s">
        <v>184</v>
      </c>
      <c r="J32" s="36" t="s">
        <v>71</v>
      </c>
      <c r="K32" s="36" t="s">
        <v>245</v>
      </c>
      <c r="L32" s="36" t="s">
        <v>246</v>
      </c>
      <c r="M32" s="4" t="str">
        <f t="shared" si="0"/>
        <v xml:space="preserve">allan slotter massmutual director of finance data operations </v>
      </c>
    </row>
    <row r="33" spans="1:13" ht="19.5" customHeight="1">
      <c r="A33" s="35" t="s">
        <v>212</v>
      </c>
      <c r="B33" s="35" t="s">
        <v>385</v>
      </c>
      <c r="C33" s="35" t="s">
        <v>386</v>
      </c>
      <c r="D33" s="35" t="s">
        <v>387</v>
      </c>
      <c r="E33" s="35" t="s">
        <v>388</v>
      </c>
      <c r="F33" s="35" t="s">
        <v>389</v>
      </c>
      <c r="G33" s="35"/>
      <c r="H33" s="35" t="s">
        <v>244</v>
      </c>
      <c r="I33" s="24" t="s">
        <v>184</v>
      </c>
      <c r="J33" s="35" t="s">
        <v>71</v>
      </c>
      <c r="K33" s="35" t="s">
        <v>245</v>
      </c>
      <c r="L33" s="35" t="s">
        <v>246</v>
      </c>
      <c r="M33" s="4" t="str">
        <f t="shared" si="0"/>
        <v>linda sardi sompo vice president, product</v>
      </c>
    </row>
    <row r="34" spans="1:13" ht="19.5" customHeight="1">
      <c r="A34" s="36" t="s">
        <v>212</v>
      </c>
      <c r="B34" s="36" t="s">
        <v>390</v>
      </c>
      <c r="C34" s="36" t="s">
        <v>391</v>
      </c>
      <c r="D34" s="36" t="s">
        <v>392</v>
      </c>
      <c r="E34" s="36" t="s">
        <v>393</v>
      </c>
      <c r="F34" s="36" t="s">
        <v>394</v>
      </c>
      <c r="G34" s="36"/>
      <c r="H34" s="36" t="s">
        <v>244</v>
      </c>
      <c r="I34" s="24" t="s">
        <v>184</v>
      </c>
      <c r="J34" s="36" t="s">
        <v>71</v>
      </c>
      <c r="K34" s="36" t="s">
        <v>245</v>
      </c>
      <c r="L34" s="36" t="s">
        <v>246</v>
      </c>
      <c r="M34" s="4" t="str">
        <f t="shared" si="0"/>
        <v>jess harris sompo vp | risk control life sciences &amp; technology leader</v>
      </c>
    </row>
    <row r="35" spans="1:13" ht="19.5" customHeight="1">
      <c r="A35" s="35" t="s">
        <v>212</v>
      </c>
      <c r="B35" s="35" t="s">
        <v>113</v>
      </c>
      <c r="C35" s="35" t="s">
        <v>395</v>
      </c>
      <c r="D35" s="35" t="s">
        <v>396</v>
      </c>
      <c r="E35" s="35" t="s">
        <v>397</v>
      </c>
      <c r="F35" s="35" t="s">
        <v>398</v>
      </c>
      <c r="G35" s="35"/>
      <c r="H35" s="35" t="s">
        <v>244</v>
      </c>
      <c r="I35" s="24" t="s">
        <v>184</v>
      </c>
      <c r="J35" s="35" t="s">
        <v>71</v>
      </c>
      <c r="K35" s="35" t="s">
        <v>245</v>
      </c>
      <c r="L35" s="35" t="s">
        <v>246</v>
      </c>
      <c r="M35" s="4" t="str">
        <f t="shared" si="0"/>
        <v>matt olsen sompo global surety chief underwriting officer</v>
      </c>
    </row>
    <row r="36" spans="1:13" ht="19.5" customHeight="1">
      <c r="A36" s="36" t="s">
        <v>212</v>
      </c>
      <c r="B36" s="36" t="s">
        <v>399</v>
      </c>
      <c r="C36" s="36" t="s">
        <v>400</v>
      </c>
      <c r="D36" s="36" t="s">
        <v>401</v>
      </c>
      <c r="E36" s="36" t="s">
        <v>402</v>
      </c>
      <c r="F36" s="36" t="s">
        <v>403</v>
      </c>
      <c r="G36" s="36"/>
      <c r="H36" s="36" t="s">
        <v>244</v>
      </c>
      <c r="I36" s="24" t="s">
        <v>184</v>
      </c>
      <c r="J36" s="36" t="s">
        <v>71</v>
      </c>
      <c r="K36" s="36" t="s">
        <v>245</v>
      </c>
      <c r="L36" s="36" t="s">
        <v>246</v>
      </c>
      <c r="M36" s="4" t="str">
        <f t="shared" si="0"/>
        <v xml:space="preserve">gerry zecca sompo vice president product development </v>
      </c>
    </row>
    <row r="37" spans="1:13" ht="19.5" customHeight="1">
      <c r="A37" s="35" t="s">
        <v>212</v>
      </c>
      <c r="B37" s="35" t="s">
        <v>404</v>
      </c>
      <c r="C37" s="35" t="s">
        <v>405</v>
      </c>
      <c r="D37" s="35" t="s">
        <v>406</v>
      </c>
      <c r="E37" s="35" t="s">
        <v>407</v>
      </c>
      <c r="F37" s="35" t="s">
        <v>408</v>
      </c>
      <c r="G37" s="35"/>
      <c r="H37" s="35" t="s">
        <v>244</v>
      </c>
      <c r="I37" s="24" t="s">
        <v>184</v>
      </c>
      <c r="J37" s="35" t="s">
        <v>71</v>
      </c>
      <c r="K37" s="35" t="s">
        <v>245</v>
      </c>
      <c r="L37" s="35" t="s">
        <v>246</v>
      </c>
      <c r="M37" s="4" t="str">
        <f t="shared" ref="M37:M74" si="1">LOWER(B37&amp;" "&amp;C37&amp;" "&amp;A37&amp;" "&amp;D37)</f>
        <v>james dohnert sompo senior vice president, claims</v>
      </c>
    </row>
    <row r="38" spans="1:13" ht="19.5" customHeight="1">
      <c r="A38" s="36" t="s">
        <v>212</v>
      </c>
      <c r="B38" s="36" t="s">
        <v>409</v>
      </c>
      <c r="C38" s="36" t="s">
        <v>410</v>
      </c>
      <c r="D38" s="36" t="s">
        <v>411</v>
      </c>
      <c r="E38" s="36" t="s">
        <v>412</v>
      </c>
      <c r="F38" s="36" t="s">
        <v>413</v>
      </c>
      <c r="G38" s="36"/>
      <c r="H38" s="36" t="s">
        <v>244</v>
      </c>
      <c r="I38" s="24" t="s">
        <v>184</v>
      </c>
      <c r="J38" s="36" t="s">
        <v>71</v>
      </c>
      <c r="K38" s="36" t="s">
        <v>245</v>
      </c>
      <c r="L38" s="36" t="s">
        <v>246</v>
      </c>
      <c r="M38" s="4" t="str">
        <f t="shared" si="1"/>
        <v>kim phan sompo senior vice president, head of underwriting</v>
      </c>
    </row>
    <row r="39" spans="1:13" ht="19.5" customHeight="1">
      <c r="A39" s="35" t="s">
        <v>212</v>
      </c>
      <c r="B39" s="35" t="s">
        <v>414</v>
      </c>
      <c r="C39" s="35" t="s">
        <v>415</v>
      </c>
      <c r="D39" s="35" t="s">
        <v>416</v>
      </c>
      <c r="E39" s="35" t="s">
        <v>417</v>
      </c>
      <c r="F39" s="35" t="s">
        <v>418</v>
      </c>
      <c r="G39" s="35"/>
      <c r="H39" s="35" t="s">
        <v>244</v>
      </c>
      <c r="I39" s="24" t="s">
        <v>184</v>
      </c>
      <c r="J39" s="35" t="s">
        <v>71</v>
      </c>
      <c r="K39" s="35" t="s">
        <v>245</v>
      </c>
      <c r="L39" s="35" t="s">
        <v>246</v>
      </c>
      <c r="M39" s="4" t="str">
        <f t="shared" si="1"/>
        <v>ian dixon sompo vice president - equipment breakdown underwriting</v>
      </c>
    </row>
    <row r="40" spans="1:13" ht="19.5" customHeight="1">
      <c r="A40" s="36" t="s">
        <v>212</v>
      </c>
      <c r="B40" s="36" t="s">
        <v>419</v>
      </c>
      <c r="C40" s="36" t="s">
        <v>420</v>
      </c>
      <c r="D40" s="36" t="s">
        <v>421</v>
      </c>
      <c r="E40" s="36" t="s">
        <v>422</v>
      </c>
      <c r="F40" s="36" t="s">
        <v>423</v>
      </c>
      <c r="G40" s="36"/>
      <c r="H40" s="36" t="s">
        <v>244</v>
      </c>
      <c r="I40" s="24" t="s">
        <v>184</v>
      </c>
      <c r="J40" s="36" t="s">
        <v>71</v>
      </c>
      <c r="K40" s="36" t="s">
        <v>245</v>
      </c>
      <c r="L40" s="36" t="s">
        <v>246</v>
      </c>
      <c r="M40" s="4" t="str">
        <f t="shared" si="1"/>
        <v>david carter sompo executive vice president, chief strategic officer</v>
      </c>
    </row>
    <row r="41" spans="1:13" ht="19.5" customHeight="1">
      <c r="A41" s="35" t="s">
        <v>424</v>
      </c>
      <c r="B41" s="35" t="s">
        <v>425</v>
      </c>
      <c r="C41" s="35" t="s">
        <v>426</v>
      </c>
      <c r="D41" s="35" t="s">
        <v>427</v>
      </c>
      <c r="E41" s="35" t="s">
        <v>428</v>
      </c>
      <c r="F41" s="35" t="s">
        <v>429</v>
      </c>
      <c r="G41" s="35"/>
      <c r="H41" s="35"/>
      <c r="I41" s="24" t="s">
        <v>184</v>
      </c>
      <c r="J41" s="35" t="s">
        <v>71</v>
      </c>
      <c r="K41" s="35" t="s">
        <v>245</v>
      </c>
      <c r="L41" s="35" t="s">
        <v>246</v>
      </c>
      <c r="M41" s="4" t="str">
        <f t="shared" si="1"/>
        <v>spencer pollack hartford senior managing director, technology and life sciences</v>
      </c>
    </row>
    <row r="42" spans="1:13" ht="19.5" customHeight="1">
      <c r="A42" s="36" t="s">
        <v>424</v>
      </c>
      <c r="B42" s="36" t="s">
        <v>430</v>
      </c>
      <c r="C42" s="36" t="s">
        <v>431</v>
      </c>
      <c r="D42" s="27" t="s">
        <v>432</v>
      </c>
      <c r="E42" s="36" t="s">
        <v>433</v>
      </c>
      <c r="F42" s="36" t="s">
        <v>434</v>
      </c>
      <c r="G42" s="36"/>
      <c r="H42" s="36"/>
      <c r="I42" s="24" t="s">
        <v>184</v>
      </c>
      <c r="J42" s="36" t="s">
        <v>71</v>
      </c>
      <c r="K42" s="36" t="s">
        <v>245</v>
      </c>
      <c r="L42" s="36" t="s">
        <v>246</v>
      </c>
      <c r="M42" s="5" t="str">
        <f t="shared" si="1"/>
        <v>molly guyer hartford 
managing director</v>
      </c>
    </row>
    <row r="43" spans="1:13" ht="19.5" customHeight="1">
      <c r="A43" s="35" t="s">
        <v>424</v>
      </c>
      <c r="B43" s="35" t="s">
        <v>435</v>
      </c>
      <c r="C43" s="35" t="s">
        <v>436</v>
      </c>
      <c r="D43" s="35" t="s">
        <v>437</v>
      </c>
      <c r="E43" s="35" t="s">
        <v>438</v>
      </c>
      <c r="F43" s="35" t="s">
        <v>439</v>
      </c>
      <c r="G43" s="35"/>
      <c r="H43" s="35"/>
      <c r="I43" s="24" t="s">
        <v>184</v>
      </c>
      <c r="J43" s="35" t="s">
        <v>71</v>
      </c>
      <c r="K43" s="35" t="s">
        <v>245</v>
      </c>
      <c r="L43" s="35" t="s">
        <v>246</v>
      </c>
      <c r="M43" s="4" t="str">
        <f t="shared" si="1"/>
        <v>bob aaron hartford vp - head of pi direct</v>
      </c>
    </row>
    <row r="44" spans="1:13" ht="19.5" customHeight="1">
      <c r="A44" s="36" t="s">
        <v>424</v>
      </c>
      <c r="B44" s="36" t="s">
        <v>343</v>
      </c>
      <c r="C44" s="36" t="s">
        <v>440</v>
      </c>
      <c r="D44" s="36" t="s">
        <v>441</v>
      </c>
      <c r="E44" s="36"/>
      <c r="F44" s="36" t="s">
        <v>442</v>
      </c>
      <c r="G44" s="36"/>
      <c r="H44" s="36"/>
      <c r="I44" s="24" t="s">
        <v>184</v>
      </c>
      <c r="J44" s="36" t="s">
        <v>71</v>
      </c>
      <c r="K44" s="36" t="s">
        <v>245</v>
      </c>
      <c r="L44" s="36" t="s">
        <v>246</v>
      </c>
      <c r="M44" s="4" t="str">
        <f t="shared" si="1"/>
        <v>michael boudreau hartford cio, vice president, small business</v>
      </c>
    </row>
    <row r="45" spans="1:13" ht="19.5" customHeight="1">
      <c r="A45" s="35" t="s">
        <v>424</v>
      </c>
      <c r="B45" s="35" t="s">
        <v>443</v>
      </c>
      <c r="C45" s="35" t="s">
        <v>444</v>
      </c>
      <c r="D45" s="35" t="s">
        <v>445</v>
      </c>
      <c r="E45" s="35"/>
      <c r="F45" s="35" t="s">
        <v>446</v>
      </c>
      <c r="G45" s="35"/>
      <c r="H45" s="35"/>
      <c r="I45" s="24" t="s">
        <v>184</v>
      </c>
      <c r="J45" s="35" t="s">
        <v>71</v>
      </c>
      <c r="K45" s="35" t="s">
        <v>245</v>
      </c>
      <c r="L45" s="35" t="s">
        <v>246</v>
      </c>
      <c r="M45" s="4" t="str">
        <f t="shared" si="1"/>
        <v>renoi thomas hartford assistant vice president - devsecops, cloud engineering, api management &amp; quality assurance</v>
      </c>
    </row>
    <row r="46" spans="1:13" ht="19.5" customHeight="1">
      <c r="A46" s="36" t="s">
        <v>424</v>
      </c>
      <c r="B46" s="36" t="s">
        <v>447</v>
      </c>
      <c r="C46" s="36" t="s">
        <v>448</v>
      </c>
      <c r="D46" s="27" t="s">
        <v>449</v>
      </c>
      <c r="E46" s="36"/>
      <c r="F46" s="36" t="s">
        <v>450</v>
      </c>
      <c r="G46" s="36"/>
      <c r="H46" s="36"/>
      <c r="I46" s="24" t="s">
        <v>184</v>
      </c>
      <c r="J46" s="36" t="s">
        <v>71</v>
      </c>
      <c r="K46" s="36" t="s">
        <v>245</v>
      </c>
      <c r="L46" s="36" t="s">
        <v>246</v>
      </c>
      <c r="M46" s="5" t="str">
        <f t="shared" si="1"/>
        <v>milton jackson hartford 
vp &amp; head of customer growth</v>
      </c>
    </row>
    <row r="47" spans="1:13" ht="19.5" customHeight="1">
      <c r="A47" s="35" t="s">
        <v>424</v>
      </c>
      <c r="B47" s="35" t="s">
        <v>451</v>
      </c>
      <c r="C47" s="35" t="s">
        <v>452</v>
      </c>
      <c r="D47" s="35" t="s">
        <v>453</v>
      </c>
      <c r="E47" s="35"/>
      <c r="F47" s="35" t="s">
        <v>454</v>
      </c>
      <c r="G47" s="35"/>
      <c r="H47" s="35"/>
      <c r="I47" s="24" t="s">
        <v>184</v>
      </c>
      <c r="J47" s="35" t="s">
        <v>71</v>
      </c>
      <c r="K47" s="35" t="s">
        <v>245</v>
      </c>
      <c r="L47" s="35" t="s">
        <v>246</v>
      </c>
      <c r="M47" s="4" t="str">
        <f t="shared" si="1"/>
        <v xml:space="preserve">colleen batman hartford senior vice president - small commercial &amp; personal lines </v>
      </c>
    </row>
    <row r="48" spans="1:13" ht="19.5" customHeight="1">
      <c r="A48" s="36" t="s">
        <v>424</v>
      </c>
      <c r="B48" s="36" t="s">
        <v>455</v>
      </c>
      <c r="C48" s="36" t="s">
        <v>456</v>
      </c>
      <c r="D48" s="36" t="s">
        <v>457</v>
      </c>
      <c r="E48" s="36"/>
      <c r="F48" s="36" t="s">
        <v>458</v>
      </c>
      <c r="G48" s="36"/>
      <c r="H48" s="36"/>
      <c r="I48" s="24" t="s">
        <v>184</v>
      </c>
      <c r="J48" s="36" t="s">
        <v>71</v>
      </c>
      <c r="K48" s="36" t="s">
        <v>245</v>
      </c>
      <c r="L48" s="36" t="s">
        <v>246</v>
      </c>
      <c r="M48" s="4" t="str">
        <f t="shared" si="1"/>
        <v>dave gouker hartford sr managing director - risk engineering property &amp; inland marine</v>
      </c>
    </row>
    <row r="49" spans="1:13" ht="19.5" customHeight="1">
      <c r="A49" s="35" t="s">
        <v>424</v>
      </c>
      <c r="B49" s="35" t="s">
        <v>459</v>
      </c>
      <c r="C49" s="35" t="s">
        <v>460</v>
      </c>
      <c r="D49" s="35" t="s">
        <v>461</v>
      </c>
      <c r="E49" s="35"/>
      <c r="F49" s="35" t="s">
        <v>462</v>
      </c>
      <c r="G49" s="35"/>
      <c r="H49" s="35"/>
      <c r="I49" s="24" t="s">
        <v>184</v>
      </c>
      <c r="J49" s="35" t="s">
        <v>71</v>
      </c>
      <c r="K49" s="35" t="s">
        <v>245</v>
      </c>
      <c r="L49" s="35" t="s">
        <v>246</v>
      </c>
      <c r="M49" s="4" t="str">
        <f t="shared" si="1"/>
        <v>mike smolenski hartford avp data transformation</v>
      </c>
    </row>
    <row r="50" spans="1:13" ht="19.5" customHeight="1">
      <c r="A50" s="36" t="s">
        <v>424</v>
      </c>
      <c r="B50" s="36" t="s">
        <v>463</v>
      </c>
      <c r="C50" s="36" t="s">
        <v>464</v>
      </c>
      <c r="D50" s="36" t="s">
        <v>465</v>
      </c>
      <c r="E50" s="36"/>
      <c r="F50" s="36" t="s">
        <v>466</v>
      </c>
      <c r="G50" s="36"/>
      <c r="H50" s="36"/>
      <c r="I50" s="24" t="s">
        <v>184</v>
      </c>
      <c r="J50" s="36" t="s">
        <v>71</v>
      </c>
      <c r="K50" s="36" t="s">
        <v>245</v>
      </c>
      <c r="L50" s="36" t="s">
        <v>246</v>
      </c>
      <c r="M50" s="4" t="str">
        <f t="shared" si="1"/>
        <v>vikas bhor hartford vice president, head of data, analytics and ai engineering</v>
      </c>
    </row>
    <row r="51" spans="1:13" ht="19.5" customHeight="1">
      <c r="A51" s="35" t="s">
        <v>424</v>
      </c>
      <c r="B51" s="35" t="s">
        <v>467</v>
      </c>
      <c r="C51" s="35" t="s">
        <v>468</v>
      </c>
      <c r="D51" s="35" t="s">
        <v>469</v>
      </c>
      <c r="E51" s="35"/>
      <c r="F51" s="35" t="s">
        <v>470</v>
      </c>
      <c r="G51" s="35"/>
      <c r="H51" s="35"/>
      <c r="I51" s="24" t="s">
        <v>184</v>
      </c>
      <c r="J51" s="35" t="s">
        <v>71</v>
      </c>
      <c r="K51" s="35" t="s">
        <v>245</v>
      </c>
      <c r="L51" s="35" t="s">
        <v>246</v>
      </c>
      <c r="M51" s="4" t="str">
        <f t="shared" si="1"/>
        <v>lori walters hartford vice president, claims and operations data science</v>
      </c>
    </row>
    <row r="52" spans="1:13" ht="19.5" customHeight="1">
      <c r="A52" s="36" t="s">
        <v>424</v>
      </c>
      <c r="B52" s="36" t="s">
        <v>471</v>
      </c>
      <c r="C52" s="36" t="s">
        <v>472</v>
      </c>
      <c r="D52" s="36" t="s">
        <v>473</v>
      </c>
      <c r="E52" s="36"/>
      <c r="F52" s="36" t="s">
        <v>474</v>
      </c>
      <c r="G52" s="36"/>
      <c r="H52" s="36"/>
      <c r="I52" s="24" t="s">
        <v>184</v>
      </c>
      <c r="J52" s="36" t="s">
        <v>71</v>
      </c>
      <c r="K52" s="36" t="s">
        <v>245</v>
      </c>
      <c r="L52" s="36" t="s">
        <v>246</v>
      </c>
      <c r="M52" s="4" t="str">
        <f t="shared" si="1"/>
        <v xml:space="preserve">bryan smith hartford chief product officer, small business </v>
      </c>
    </row>
    <row r="53" spans="1:13" ht="19.5" customHeight="1">
      <c r="A53" s="35" t="s">
        <v>424</v>
      </c>
      <c r="B53" s="35" t="s">
        <v>475</v>
      </c>
      <c r="C53" s="35" t="s">
        <v>476</v>
      </c>
      <c r="D53" s="35" t="s">
        <v>477</v>
      </c>
      <c r="E53" s="35"/>
      <c r="F53" s="35" t="s">
        <v>478</v>
      </c>
      <c r="G53" s="35"/>
      <c r="H53" s="35"/>
      <c r="I53" s="24" t="s">
        <v>184</v>
      </c>
      <c r="J53" s="35" t="s">
        <v>71</v>
      </c>
      <c r="K53" s="35" t="s">
        <v>245</v>
      </c>
      <c r="L53" s="35" t="s">
        <v>246</v>
      </c>
      <c r="M53" s="4" t="str">
        <f t="shared" si="1"/>
        <v>stefanie zacchera hartford personal lines transformation office - vice president</v>
      </c>
    </row>
    <row r="54" spans="1:13" ht="19.5" customHeight="1">
      <c r="A54" s="36" t="s">
        <v>424</v>
      </c>
      <c r="B54" s="36" t="s">
        <v>479</v>
      </c>
      <c r="C54" s="36" t="s">
        <v>480</v>
      </c>
      <c r="D54" s="36" t="s">
        <v>481</v>
      </c>
      <c r="E54" s="36"/>
      <c r="F54" s="36" t="s">
        <v>482</v>
      </c>
      <c r="G54" s="36"/>
      <c r="H54" s="36"/>
      <c r="I54" s="24" t="s">
        <v>184</v>
      </c>
      <c r="J54" s="36" t="s">
        <v>71</v>
      </c>
      <c r="K54" s="36" t="s">
        <v>245</v>
      </c>
      <c r="L54" s="36" t="s">
        <v>246</v>
      </c>
      <c r="M54" s="4" t="str">
        <f t="shared" si="1"/>
        <v>steve deane hartford evp &amp; chief claims officer</v>
      </c>
    </row>
    <row r="55" spans="1:13" ht="19.5" customHeight="1">
      <c r="A55" s="35" t="s">
        <v>60</v>
      </c>
      <c r="B55" s="35" t="s">
        <v>483</v>
      </c>
      <c r="C55" s="35" t="s">
        <v>484</v>
      </c>
      <c r="D55" s="35" t="s">
        <v>62</v>
      </c>
      <c r="E55" s="35"/>
      <c r="F55" s="35"/>
      <c r="G55" s="35"/>
      <c r="H55" s="35" t="s">
        <v>244</v>
      </c>
      <c r="I55" s="33" t="s">
        <v>99</v>
      </c>
      <c r="J55" s="35" t="s">
        <v>71</v>
      </c>
      <c r="K55" s="33" t="s">
        <v>485</v>
      </c>
      <c r="L55" s="35" t="s">
        <v>486</v>
      </c>
      <c r="M55" s="4" t="str">
        <f t="shared" si="1"/>
        <v>jim young aig cdo</v>
      </c>
    </row>
    <row r="56" spans="1:13" ht="19.5" customHeight="1">
      <c r="A56" s="36" t="s">
        <v>89</v>
      </c>
      <c r="B56" s="36" t="s">
        <v>95</v>
      </c>
      <c r="C56" s="36" t="s">
        <v>487</v>
      </c>
      <c r="D56" s="36" t="s">
        <v>91</v>
      </c>
      <c r="E56" s="36"/>
      <c r="F56" s="36"/>
      <c r="G56" s="36"/>
      <c r="H56" s="36" t="s">
        <v>244</v>
      </c>
      <c r="I56" s="33" t="s">
        <v>99</v>
      </c>
      <c r="J56" s="36" t="s">
        <v>86</v>
      </c>
      <c r="K56" s="33" t="s">
        <v>485</v>
      </c>
      <c r="L56" s="36" t="s">
        <v>91</v>
      </c>
      <c r="M56" s="4" t="str">
        <f t="shared" si="1"/>
        <v>preetha sekharan unum vp innovation</v>
      </c>
    </row>
    <row r="57" spans="1:13" ht="19.5" customHeight="1">
      <c r="A57" s="35" t="s">
        <v>102</v>
      </c>
      <c r="B57" s="35" t="s">
        <v>103</v>
      </c>
      <c r="C57" s="35"/>
      <c r="D57" s="35" t="s">
        <v>104</v>
      </c>
      <c r="E57" s="35"/>
      <c r="F57" s="35"/>
      <c r="G57" s="35"/>
      <c r="H57" s="35" t="s">
        <v>244</v>
      </c>
      <c r="I57" s="33" t="s">
        <v>99</v>
      </c>
      <c r="J57" s="35" t="s">
        <v>86</v>
      </c>
      <c r="K57" s="33" t="s">
        <v>485</v>
      </c>
      <c r="L57" s="35" t="s">
        <v>488</v>
      </c>
      <c r="M57" s="4" t="str">
        <f t="shared" si="1"/>
        <v>nandini  zurich senior executive</v>
      </c>
    </row>
    <row r="58" spans="1:13" ht="19.5" customHeight="1">
      <c r="A58" s="36" t="s">
        <v>75</v>
      </c>
      <c r="B58" s="36" t="s">
        <v>76</v>
      </c>
      <c r="C58" s="36"/>
      <c r="D58" s="36" t="s">
        <v>77</v>
      </c>
      <c r="E58" s="36"/>
      <c r="F58" s="36"/>
      <c r="G58" s="36"/>
      <c r="H58" s="36" t="s">
        <v>244</v>
      </c>
      <c r="I58" s="28" t="s">
        <v>85</v>
      </c>
      <c r="J58" s="36" t="s">
        <v>71</v>
      </c>
      <c r="K58" s="33" t="s">
        <v>485</v>
      </c>
      <c r="L58" s="36" t="s">
        <v>489</v>
      </c>
      <c r="M58" s="4" t="str">
        <f t="shared" si="1"/>
        <v>chirag  snowflake partner executive</v>
      </c>
    </row>
    <row r="59" spans="1:13" ht="19.5" customHeight="1">
      <c r="A59" s="35" t="s">
        <v>119</v>
      </c>
      <c r="B59" s="35" t="s">
        <v>455</v>
      </c>
      <c r="C59" s="35" t="s">
        <v>490</v>
      </c>
      <c r="D59" s="35" t="s">
        <v>121</v>
      </c>
      <c r="E59" s="35"/>
      <c r="F59" s="35"/>
      <c r="G59" s="35"/>
      <c r="H59" s="35" t="s">
        <v>491</v>
      </c>
      <c r="I59" s="37" t="s">
        <v>492</v>
      </c>
      <c r="J59" s="35" t="s">
        <v>86</v>
      </c>
      <c r="K59" s="33" t="s">
        <v>485</v>
      </c>
      <c r="L59" s="35" t="s">
        <v>493</v>
      </c>
      <c r="M59" s="4" t="str">
        <f t="shared" si="1"/>
        <v>dave kierstead sunlife cdao</v>
      </c>
    </row>
    <row r="60" spans="1:13" ht="19.5" customHeight="1">
      <c r="A60" s="36" t="s">
        <v>127</v>
      </c>
      <c r="B60" s="36" t="s">
        <v>129</v>
      </c>
      <c r="C60" s="36" t="s">
        <v>494</v>
      </c>
      <c r="D60" s="36" t="s">
        <v>104</v>
      </c>
      <c r="E60" s="36"/>
      <c r="F60" s="36"/>
      <c r="G60" s="36"/>
      <c r="H60" s="36" t="s">
        <v>244</v>
      </c>
      <c r="I60" s="33" t="s">
        <v>99</v>
      </c>
      <c r="J60" s="36" t="s">
        <v>86</v>
      </c>
      <c r="K60" s="33" t="s">
        <v>485</v>
      </c>
      <c r="L60" s="36" t="s">
        <v>495</v>
      </c>
      <c r="M60" s="4" t="str">
        <f t="shared" si="1"/>
        <v>marty semararo fm global senior executive</v>
      </c>
    </row>
    <row r="61" spans="1:13" ht="19.5" customHeight="1">
      <c r="A61" s="35" t="s">
        <v>127</v>
      </c>
      <c r="B61" s="35" t="s">
        <v>496</v>
      </c>
      <c r="C61" s="35" t="s">
        <v>497</v>
      </c>
      <c r="D61" s="35" t="s">
        <v>137</v>
      </c>
      <c r="E61" s="35"/>
      <c r="F61" s="35"/>
      <c r="G61" s="35"/>
      <c r="H61" s="35" t="s">
        <v>244</v>
      </c>
      <c r="I61" s="33" t="s">
        <v>99</v>
      </c>
      <c r="J61" s="35" t="s">
        <v>71</v>
      </c>
      <c r="K61" s="33" t="s">
        <v>485</v>
      </c>
      <c r="L61" s="35" t="s">
        <v>498</v>
      </c>
      <c r="M61" s="4" t="str">
        <f t="shared" si="1"/>
        <v>srini krishnamurthy fm global cio</v>
      </c>
    </row>
    <row r="62" spans="1:13" ht="19.5" customHeight="1">
      <c r="A62" s="36" t="s">
        <v>146</v>
      </c>
      <c r="B62" s="36" t="s">
        <v>499</v>
      </c>
      <c r="C62" s="36" t="s">
        <v>500</v>
      </c>
      <c r="D62" s="36" t="s">
        <v>114</v>
      </c>
      <c r="E62" s="36"/>
      <c r="F62" s="36"/>
      <c r="G62" s="36"/>
      <c r="H62" s="36" t="s">
        <v>244</v>
      </c>
      <c r="I62" s="33" t="s">
        <v>99</v>
      </c>
      <c r="J62" s="36" t="s">
        <v>86</v>
      </c>
      <c r="K62" s="33" t="s">
        <v>485</v>
      </c>
      <c r="L62" s="36" t="s">
        <v>501</v>
      </c>
      <c r="M62" s="4" t="str">
        <f t="shared" si="1"/>
        <v>drew woods farmers insurance executive</v>
      </c>
    </row>
    <row r="63" spans="1:13" ht="19.5" customHeight="1">
      <c r="A63" s="35" t="s">
        <v>152</v>
      </c>
      <c r="B63" s="35" t="s">
        <v>502</v>
      </c>
      <c r="C63" s="35" t="s">
        <v>503</v>
      </c>
      <c r="D63" s="35" t="s">
        <v>104</v>
      </c>
      <c r="E63" s="35"/>
      <c r="F63" s="35"/>
      <c r="G63" s="35"/>
      <c r="H63" s="35" t="s">
        <v>244</v>
      </c>
      <c r="I63" s="33" t="s">
        <v>99</v>
      </c>
      <c r="J63" s="35" t="s">
        <v>71</v>
      </c>
      <c r="K63" s="33" t="s">
        <v>485</v>
      </c>
      <c r="L63" s="35" t="s">
        <v>504</v>
      </c>
      <c r="M63" s="4" t="str">
        <f t="shared" si="1"/>
        <v>giri p the hartford senior executive</v>
      </c>
    </row>
    <row r="64" spans="1:13" ht="19.5" customHeight="1">
      <c r="A64" s="36" t="s">
        <v>112</v>
      </c>
      <c r="B64" s="36" t="s">
        <v>113</v>
      </c>
      <c r="C64" s="36"/>
      <c r="D64" s="36" t="s">
        <v>114</v>
      </c>
      <c r="E64" s="36"/>
      <c r="F64" s="36"/>
      <c r="G64" s="36"/>
      <c r="H64" s="36" t="s">
        <v>244</v>
      </c>
      <c r="I64" s="33" t="s">
        <v>99</v>
      </c>
      <c r="J64" s="36" t="s">
        <v>86</v>
      </c>
      <c r="K64" s="33" t="s">
        <v>485</v>
      </c>
      <c r="L64" s="36" t="s">
        <v>505</v>
      </c>
      <c r="M64" s="4" t="str">
        <f t="shared" si="1"/>
        <v>matt  aflac executive</v>
      </c>
    </row>
    <row r="65" spans="1:13" ht="19.5" customHeight="1">
      <c r="A65" s="35" t="s">
        <v>158</v>
      </c>
      <c r="B65" s="35" t="s">
        <v>506</v>
      </c>
      <c r="C65" s="35" t="s">
        <v>507</v>
      </c>
      <c r="D65" s="35" t="s">
        <v>160</v>
      </c>
      <c r="E65" s="35"/>
      <c r="F65" s="35"/>
      <c r="G65" s="35"/>
      <c r="H65" s="35" t="s">
        <v>244</v>
      </c>
      <c r="I65" s="33" t="s">
        <v>99</v>
      </c>
      <c r="J65" s="35" t="s">
        <v>86</v>
      </c>
      <c r="K65" s="33" t="s">
        <v>485</v>
      </c>
      <c r="L65" s="35" t="s">
        <v>508</v>
      </c>
      <c r="M65" s="4" t="str">
        <f t="shared" si="1"/>
        <v>brad yarnall great american svp technology</v>
      </c>
    </row>
    <row r="66" spans="1:13" ht="19.5" customHeight="1">
      <c r="A66" s="36" t="s">
        <v>165</v>
      </c>
      <c r="B66" s="36" t="s">
        <v>509</v>
      </c>
      <c r="C66" s="36" t="s">
        <v>510</v>
      </c>
      <c r="D66" s="36" t="s">
        <v>104</v>
      </c>
      <c r="E66" s="36"/>
      <c r="F66" s="36"/>
      <c r="G66" s="36"/>
      <c r="H66" s="36" t="s">
        <v>244</v>
      </c>
      <c r="I66" s="33" t="s">
        <v>99</v>
      </c>
      <c r="J66" s="36" t="s">
        <v>71</v>
      </c>
      <c r="K66" s="33" t="s">
        <v>485</v>
      </c>
      <c r="L66" s="36" t="s">
        <v>511</v>
      </c>
      <c r="M66" s="4" t="str">
        <f t="shared" si="1"/>
        <v>louis d verisk senior executive</v>
      </c>
    </row>
    <row r="67" spans="1:13" ht="19.5" customHeight="1">
      <c r="A67" s="35" t="s">
        <v>172</v>
      </c>
      <c r="B67" s="35" t="s">
        <v>512</v>
      </c>
      <c r="C67" s="35" t="s">
        <v>513</v>
      </c>
      <c r="D67" s="35" t="s">
        <v>121</v>
      </c>
      <c r="E67" s="35"/>
      <c r="F67" s="35"/>
      <c r="G67" s="35"/>
      <c r="H67" s="35" t="s">
        <v>244</v>
      </c>
      <c r="I67" s="33" t="s">
        <v>99</v>
      </c>
      <c r="J67" s="35" t="s">
        <v>86</v>
      </c>
      <c r="K67" s="33" t="s">
        <v>485</v>
      </c>
      <c r="L67" s="35" t="s">
        <v>514</v>
      </c>
      <c r="M67" s="4" t="str">
        <f t="shared" si="1"/>
        <v>bipin chadha csaa cdao</v>
      </c>
    </row>
    <row r="68" spans="1:13" ht="19.5" customHeight="1">
      <c r="A68" s="36" t="s">
        <v>194</v>
      </c>
      <c r="B68" s="36" t="s">
        <v>515</v>
      </c>
      <c r="C68" s="36" t="s">
        <v>516</v>
      </c>
      <c r="D68" s="36" t="s">
        <v>196</v>
      </c>
      <c r="E68" s="36"/>
      <c r="F68" s="36"/>
      <c r="G68" s="36"/>
      <c r="H68" s="36" t="s">
        <v>244</v>
      </c>
      <c r="I68" s="33" t="s">
        <v>99</v>
      </c>
      <c r="J68" s="36" t="s">
        <v>86</v>
      </c>
      <c r="K68" s="33" t="s">
        <v>485</v>
      </c>
      <c r="L68" s="36" t="s">
        <v>517</v>
      </c>
      <c r="M68" s="4" t="str">
        <f t="shared" si="1"/>
        <v>boris simanovich ny life cvp ai ml ops</v>
      </c>
    </row>
    <row r="69" spans="1:13" ht="19.5" customHeight="1">
      <c r="A69" s="35" t="s">
        <v>206</v>
      </c>
      <c r="B69" s="35" t="s">
        <v>518</v>
      </c>
      <c r="C69" s="35" t="s">
        <v>519</v>
      </c>
      <c r="D69" s="35" t="s">
        <v>114</v>
      </c>
      <c r="E69" s="35"/>
      <c r="F69" s="35"/>
      <c r="G69" s="35"/>
      <c r="H69" s="35" t="s">
        <v>244</v>
      </c>
      <c r="I69" s="33" t="s">
        <v>99</v>
      </c>
      <c r="J69" s="35" t="s">
        <v>86</v>
      </c>
      <c r="K69" s="33" t="s">
        <v>485</v>
      </c>
      <c r="L69" s="35" t="s">
        <v>208</v>
      </c>
      <c r="M69" s="4" t="str">
        <f t="shared" si="1"/>
        <v>mahfuj munshi nationwide executive</v>
      </c>
    </row>
    <row r="70" spans="1:13" ht="19.5" customHeight="1">
      <c r="A70" s="36" t="s">
        <v>520</v>
      </c>
      <c r="B70" s="36" t="s">
        <v>113</v>
      </c>
      <c r="C70" s="36" t="s">
        <v>521</v>
      </c>
      <c r="D70" s="36" t="s">
        <v>225</v>
      </c>
      <c r="E70" s="36"/>
      <c r="F70" s="36"/>
      <c r="G70" s="36"/>
      <c r="H70" s="36" t="s">
        <v>244</v>
      </c>
      <c r="I70" s="37" t="s">
        <v>492</v>
      </c>
      <c r="J70" s="36" t="s">
        <v>86</v>
      </c>
      <c r="K70" s="36" t="s">
        <v>245</v>
      </c>
      <c r="L70" s="36" t="s">
        <v>522</v>
      </c>
      <c r="M70" s="4" t="str">
        <f t="shared" si="1"/>
        <v>matt battersby rga vp</v>
      </c>
    </row>
    <row r="71" spans="1:13" ht="19.5" customHeight="1">
      <c r="A71" s="35" t="s">
        <v>523</v>
      </c>
      <c r="B71" s="35" t="s">
        <v>312</v>
      </c>
      <c r="C71" s="35" t="s">
        <v>524</v>
      </c>
      <c r="D71" s="35" t="s">
        <v>114</v>
      </c>
      <c r="E71" s="35"/>
      <c r="F71" s="35"/>
      <c r="G71" s="35"/>
      <c r="H71" s="35" t="s">
        <v>244</v>
      </c>
      <c r="I71" s="37" t="s">
        <v>492</v>
      </c>
      <c r="J71" s="35" t="s">
        <v>71</v>
      </c>
      <c r="K71" s="35" t="s">
        <v>245</v>
      </c>
      <c r="L71" s="35" t="s">
        <v>525</v>
      </c>
      <c r="M71" s="4" t="str">
        <f t="shared" si="1"/>
        <v>joe v allied world executive</v>
      </c>
    </row>
    <row r="72" spans="1:13" ht="19.5" customHeight="1">
      <c r="A72" s="36" t="s">
        <v>526</v>
      </c>
      <c r="B72" s="36" t="s">
        <v>527</v>
      </c>
      <c r="C72" s="36" t="s">
        <v>528</v>
      </c>
      <c r="D72" s="36" t="s">
        <v>529</v>
      </c>
      <c r="E72" s="36"/>
      <c r="F72" s="36"/>
      <c r="G72" s="36"/>
      <c r="H72" s="36" t="s">
        <v>244</v>
      </c>
      <c r="I72" s="37" t="s">
        <v>492</v>
      </c>
      <c r="J72" s="36" t="s">
        <v>86</v>
      </c>
      <c r="K72" s="36" t="s">
        <v>245</v>
      </c>
      <c r="L72" s="36" t="s">
        <v>530</v>
      </c>
      <c r="M72" s="4" t="str">
        <f t="shared" si="1"/>
        <v>alex specter a16z partner</v>
      </c>
    </row>
    <row r="73" spans="1:13" ht="19.5" customHeight="1">
      <c r="A73" s="36"/>
      <c r="B73" s="36" t="s">
        <v>353</v>
      </c>
      <c r="C73" s="36" t="s">
        <v>531</v>
      </c>
      <c r="D73" s="36" t="s">
        <v>225</v>
      </c>
      <c r="E73" s="36"/>
      <c r="F73" s="81" t="s">
        <v>18</v>
      </c>
      <c r="G73" s="36">
        <v>8602125299</v>
      </c>
      <c r="H73" s="36" t="s">
        <v>244</v>
      </c>
      <c r="I73" s="33" t="s">
        <v>99</v>
      </c>
      <c r="J73" s="36" t="s">
        <v>71</v>
      </c>
      <c r="K73" s="36" t="s">
        <v>245</v>
      </c>
      <c r="L73" s="36" t="s">
        <v>532</v>
      </c>
      <c r="M73" s="4"/>
    </row>
    <row r="74" spans="1:13" ht="19.5" customHeight="1">
      <c r="A74" s="35" t="s">
        <v>533</v>
      </c>
      <c r="B74" s="35" t="s">
        <v>534</v>
      </c>
      <c r="C74" s="35" t="s">
        <v>535</v>
      </c>
      <c r="D74" s="35" t="s">
        <v>536</v>
      </c>
      <c r="E74" s="35"/>
      <c r="F74" s="35"/>
      <c r="G74" s="35"/>
      <c r="H74" s="35" t="s">
        <v>244</v>
      </c>
      <c r="I74" s="37" t="s">
        <v>492</v>
      </c>
      <c r="J74" s="35" t="s">
        <v>537</v>
      </c>
      <c r="K74" s="35" t="s">
        <v>245</v>
      </c>
      <c r="L74" s="35" t="s">
        <v>538</v>
      </c>
      <c r="M74" s="4" t="str">
        <f t="shared" si="1"/>
        <v>jimson tharayil acrisure vp partnerships</v>
      </c>
    </row>
    <row r="75" spans="1:13" ht="15" customHeight="1">
      <c r="M75" s="4" t="str">
        <f t="shared" ref="M75:M106" si="2">IF(OR(B75&lt;&gt;"",A75&lt;&gt;""),LOWER(B75&amp;" "&amp;C75&amp;" "&amp;A75&amp;" "&amp;D75),"")</f>
        <v/>
      </c>
    </row>
    <row r="76" spans="1:13" ht="15" customHeight="1">
      <c r="M76" s="4" t="str">
        <f t="shared" si="2"/>
        <v/>
      </c>
    </row>
    <row r="77" spans="1:13" ht="15" customHeight="1">
      <c r="M77" s="4" t="str">
        <f t="shared" si="2"/>
        <v/>
      </c>
    </row>
    <row r="78" spans="1:13" ht="15" customHeight="1">
      <c r="M78" s="4" t="str">
        <f t="shared" si="2"/>
        <v/>
      </c>
    </row>
    <row r="79" spans="1:13" ht="15" customHeight="1">
      <c r="M79" s="4" t="str">
        <f t="shared" si="2"/>
        <v/>
      </c>
    </row>
    <row r="80" spans="1:13" ht="15" customHeight="1">
      <c r="M80" s="4" t="str">
        <f t="shared" si="2"/>
        <v/>
      </c>
    </row>
    <row r="81" spans="13:13" ht="15" customHeight="1">
      <c r="M81" s="4" t="str">
        <f t="shared" si="2"/>
        <v/>
      </c>
    </row>
    <row r="82" spans="13:13" ht="15" customHeight="1">
      <c r="M82" s="4" t="str">
        <f t="shared" si="2"/>
        <v/>
      </c>
    </row>
    <row r="83" spans="13:13" ht="15" customHeight="1">
      <c r="M83" s="4" t="str">
        <f t="shared" si="2"/>
        <v/>
      </c>
    </row>
    <row r="84" spans="13:13" ht="15" customHeight="1">
      <c r="M84" s="4" t="str">
        <f t="shared" si="2"/>
        <v/>
      </c>
    </row>
    <row r="85" spans="13:13" ht="15" customHeight="1">
      <c r="M85" s="4" t="str">
        <f t="shared" si="2"/>
        <v/>
      </c>
    </row>
    <row r="86" spans="13:13" ht="15" customHeight="1">
      <c r="M86" s="4" t="str">
        <f t="shared" si="2"/>
        <v/>
      </c>
    </row>
    <row r="87" spans="13:13" ht="15" customHeight="1">
      <c r="M87" s="4" t="str">
        <f t="shared" si="2"/>
        <v/>
      </c>
    </row>
    <row r="88" spans="13:13" ht="15" customHeight="1">
      <c r="M88" s="4" t="str">
        <f t="shared" si="2"/>
        <v/>
      </c>
    </row>
    <row r="89" spans="13:13" ht="15" customHeight="1">
      <c r="M89" s="4" t="str">
        <f t="shared" si="2"/>
        <v/>
      </c>
    </row>
    <row r="90" spans="13:13" ht="15" customHeight="1">
      <c r="M90" s="4" t="str">
        <f t="shared" si="2"/>
        <v/>
      </c>
    </row>
    <row r="91" spans="13:13" ht="15" customHeight="1">
      <c r="M91" s="4" t="str">
        <f t="shared" si="2"/>
        <v/>
      </c>
    </row>
    <row r="92" spans="13:13" ht="15" customHeight="1">
      <c r="M92" s="4" t="str">
        <f t="shared" si="2"/>
        <v/>
      </c>
    </row>
    <row r="93" spans="13:13" ht="15" customHeight="1">
      <c r="M93" s="4" t="str">
        <f t="shared" si="2"/>
        <v/>
      </c>
    </row>
    <row r="94" spans="13:13" ht="15" customHeight="1">
      <c r="M94" s="4" t="str">
        <f t="shared" si="2"/>
        <v/>
      </c>
    </row>
    <row r="95" spans="13:13" ht="15" customHeight="1">
      <c r="M95" s="4" t="str">
        <f t="shared" si="2"/>
        <v/>
      </c>
    </row>
    <row r="96" spans="13:13" ht="15" customHeight="1">
      <c r="M96" s="4" t="str">
        <f t="shared" si="2"/>
        <v/>
      </c>
    </row>
    <row r="97" spans="13:13" ht="15" customHeight="1">
      <c r="M97" s="4" t="str">
        <f t="shared" si="2"/>
        <v/>
      </c>
    </row>
    <row r="98" spans="13:13" ht="15" customHeight="1">
      <c r="M98" s="4" t="str">
        <f t="shared" si="2"/>
        <v/>
      </c>
    </row>
    <row r="99" spans="13:13" ht="15" customHeight="1">
      <c r="M99" s="4" t="str">
        <f t="shared" si="2"/>
        <v/>
      </c>
    </row>
    <row r="100" spans="13:13" ht="15" customHeight="1">
      <c r="M100" s="4" t="str">
        <f t="shared" si="2"/>
        <v/>
      </c>
    </row>
    <row r="101" spans="13:13" ht="15" customHeight="1">
      <c r="M101" s="4" t="str">
        <f t="shared" si="2"/>
        <v/>
      </c>
    </row>
    <row r="102" spans="13:13" ht="15" customHeight="1">
      <c r="M102" s="4" t="str">
        <f t="shared" si="2"/>
        <v/>
      </c>
    </row>
    <row r="103" spans="13:13" ht="15" customHeight="1">
      <c r="M103" s="4" t="str">
        <f t="shared" si="2"/>
        <v/>
      </c>
    </row>
    <row r="104" spans="13:13" ht="15" customHeight="1">
      <c r="M104" s="4" t="str">
        <f t="shared" si="2"/>
        <v/>
      </c>
    </row>
    <row r="105" spans="13:13" ht="15" customHeight="1">
      <c r="M105" s="4" t="str">
        <f t="shared" si="2"/>
        <v/>
      </c>
    </row>
    <row r="106" spans="13:13" ht="15" customHeight="1">
      <c r="M106" s="4" t="str">
        <f t="shared" si="2"/>
        <v/>
      </c>
    </row>
    <row r="107" spans="13:13" ht="15" customHeight="1">
      <c r="M107" s="4" t="str">
        <f t="shared" ref="M107:M138" si="3">IF(OR(B107&lt;&gt;"",A107&lt;&gt;""),LOWER(B107&amp;" "&amp;C107&amp;" "&amp;A107&amp;" "&amp;D107),"")</f>
        <v/>
      </c>
    </row>
    <row r="108" spans="13:13" ht="15" customHeight="1">
      <c r="M108" s="4" t="str">
        <f t="shared" si="3"/>
        <v/>
      </c>
    </row>
    <row r="109" spans="13:13" ht="15" customHeight="1">
      <c r="M109" s="4" t="str">
        <f t="shared" si="3"/>
        <v/>
      </c>
    </row>
    <row r="110" spans="13:13" ht="15" customHeight="1">
      <c r="M110" s="4" t="str">
        <f t="shared" si="3"/>
        <v/>
      </c>
    </row>
    <row r="111" spans="13:13" ht="15" customHeight="1">
      <c r="M111" s="4" t="str">
        <f t="shared" si="3"/>
        <v/>
      </c>
    </row>
    <row r="112" spans="13:13" ht="15" customHeight="1">
      <c r="M112" s="4" t="str">
        <f t="shared" si="3"/>
        <v/>
      </c>
    </row>
    <row r="113" spans="13:13" ht="15" customHeight="1">
      <c r="M113" s="4" t="str">
        <f t="shared" si="3"/>
        <v/>
      </c>
    </row>
    <row r="114" spans="13:13" ht="15" customHeight="1">
      <c r="M114" s="4" t="str">
        <f t="shared" si="3"/>
        <v/>
      </c>
    </row>
    <row r="115" spans="13:13" ht="15" customHeight="1">
      <c r="M115" s="4" t="str">
        <f t="shared" si="3"/>
        <v/>
      </c>
    </row>
    <row r="116" spans="13:13" ht="15" customHeight="1">
      <c r="M116" s="4" t="str">
        <f t="shared" si="3"/>
        <v/>
      </c>
    </row>
    <row r="117" spans="13:13" ht="15" customHeight="1">
      <c r="M117" s="4" t="str">
        <f t="shared" si="3"/>
        <v/>
      </c>
    </row>
    <row r="118" spans="13:13" ht="15" customHeight="1">
      <c r="M118" s="4" t="str">
        <f t="shared" si="3"/>
        <v/>
      </c>
    </row>
    <row r="119" spans="13:13" ht="15" customHeight="1">
      <c r="M119" s="4" t="str">
        <f t="shared" si="3"/>
        <v/>
      </c>
    </row>
    <row r="120" spans="13:13" ht="15" customHeight="1">
      <c r="M120" s="4" t="str">
        <f t="shared" si="3"/>
        <v/>
      </c>
    </row>
    <row r="121" spans="13:13" ht="15" customHeight="1">
      <c r="M121" s="4" t="str">
        <f t="shared" si="3"/>
        <v/>
      </c>
    </row>
    <row r="122" spans="13:13" ht="15" customHeight="1">
      <c r="M122" s="4" t="str">
        <f t="shared" si="3"/>
        <v/>
      </c>
    </row>
    <row r="123" spans="13:13" ht="15" customHeight="1">
      <c r="M123" s="4" t="str">
        <f t="shared" si="3"/>
        <v/>
      </c>
    </row>
    <row r="124" spans="13:13" ht="15" customHeight="1">
      <c r="M124" s="4" t="str">
        <f t="shared" si="3"/>
        <v/>
      </c>
    </row>
    <row r="125" spans="13:13" ht="15" customHeight="1">
      <c r="M125" s="4" t="str">
        <f t="shared" si="3"/>
        <v/>
      </c>
    </row>
    <row r="126" spans="13:13" ht="15" customHeight="1">
      <c r="M126" s="4" t="str">
        <f t="shared" si="3"/>
        <v/>
      </c>
    </row>
    <row r="127" spans="13:13" ht="15" customHeight="1">
      <c r="M127" s="4" t="str">
        <f t="shared" si="3"/>
        <v/>
      </c>
    </row>
    <row r="128" spans="13:13" ht="15" customHeight="1">
      <c r="M128" s="4" t="str">
        <f t="shared" si="3"/>
        <v/>
      </c>
    </row>
    <row r="129" spans="13:13" ht="15" customHeight="1">
      <c r="M129" s="4" t="str">
        <f t="shared" si="3"/>
        <v/>
      </c>
    </row>
    <row r="130" spans="13:13" ht="15" customHeight="1">
      <c r="M130" s="4" t="str">
        <f t="shared" si="3"/>
        <v/>
      </c>
    </row>
    <row r="131" spans="13:13" ht="15" customHeight="1">
      <c r="M131" s="4" t="str">
        <f t="shared" si="3"/>
        <v/>
      </c>
    </row>
    <row r="132" spans="13:13" ht="15" customHeight="1">
      <c r="M132" s="4" t="str">
        <f t="shared" si="3"/>
        <v/>
      </c>
    </row>
    <row r="133" spans="13:13" ht="15" customHeight="1">
      <c r="M133" s="4" t="str">
        <f t="shared" si="3"/>
        <v/>
      </c>
    </row>
    <row r="134" spans="13:13" ht="15" customHeight="1">
      <c r="M134" s="4" t="str">
        <f t="shared" si="3"/>
        <v/>
      </c>
    </row>
    <row r="135" spans="13:13" ht="15" customHeight="1">
      <c r="M135" s="4" t="str">
        <f t="shared" si="3"/>
        <v/>
      </c>
    </row>
    <row r="136" spans="13:13" ht="15" customHeight="1">
      <c r="M136" s="4" t="str">
        <f t="shared" si="3"/>
        <v/>
      </c>
    </row>
    <row r="137" spans="13:13" ht="15" customHeight="1">
      <c r="M137" s="4" t="str">
        <f t="shared" si="3"/>
        <v/>
      </c>
    </row>
    <row r="138" spans="13:13" ht="15" customHeight="1">
      <c r="M138" s="4" t="str">
        <f t="shared" si="3"/>
        <v/>
      </c>
    </row>
    <row r="139" spans="13:13" ht="15" customHeight="1">
      <c r="M139" s="4" t="str">
        <f t="shared" ref="M139:M151" si="4">IF(OR(B139&lt;&gt;"",A139&lt;&gt;""),LOWER(B139&amp;" "&amp;C139&amp;" "&amp;A139&amp;" "&amp;D139),"")</f>
        <v/>
      </c>
    </row>
    <row r="140" spans="13:13" ht="15" customHeight="1">
      <c r="M140" s="4" t="str">
        <f t="shared" si="4"/>
        <v/>
      </c>
    </row>
    <row r="141" spans="13:13" ht="15" customHeight="1">
      <c r="M141" s="4" t="str">
        <f t="shared" si="4"/>
        <v/>
      </c>
    </row>
    <row r="142" spans="13:13" ht="15" customHeight="1">
      <c r="M142" s="4" t="str">
        <f t="shared" si="4"/>
        <v/>
      </c>
    </row>
    <row r="143" spans="13:13" ht="15" customHeight="1">
      <c r="M143" s="4" t="str">
        <f t="shared" si="4"/>
        <v/>
      </c>
    </row>
    <row r="144" spans="13:13" ht="15" customHeight="1">
      <c r="M144" s="4" t="str">
        <f t="shared" si="4"/>
        <v/>
      </c>
    </row>
    <row r="145" spans="13:13" ht="15" customHeight="1">
      <c r="M145" s="4" t="str">
        <f t="shared" si="4"/>
        <v/>
      </c>
    </row>
    <row r="146" spans="13:13" ht="15" customHeight="1">
      <c r="M146" s="4" t="str">
        <f t="shared" si="4"/>
        <v/>
      </c>
    </row>
    <row r="147" spans="13:13" ht="15" customHeight="1">
      <c r="M147" s="4" t="str">
        <f t="shared" si="4"/>
        <v/>
      </c>
    </row>
    <row r="148" spans="13:13" ht="15" customHeight="1">
      <c r="M148" s="4" t="str">
        <f t="shared" si="4"/>
        <v/>
      </c>
    </row>
    <row r="149" spans="13:13" ht="15" customHeight="1">
      <c r="M149" s="4" t="str">
        <f t="shared" si="4"/>
        <v/>
      </c>
    </row>
    <row r="150" spans="13:13" ht="15" customHeight="1">
      <c r="M150" s="4" t="str">
        <f t="shared" si="4"/>
        <v/>
      </c>
    </row>
    <row r="151" spans="13:13" ht="15" customHeight="1">
      <c r="M151" s="4" t="str">
        <f t="shared" si="4"/>
        <v/>
      </c>
    </row>
  </sheetData>
  <autoFilter ref="A4:L74" xr:uid="{00000000-0009-0000-0000-000002000000}"/>
  <mergeCells count="1">
    <mergeCell ref="A2:L2"/>
  </mergeCells>
  <hyperlinks>
    <hyperlink ref="F73" r:id="rId1" xr:uid="{F8B32661-401F-4997-9C4D-FE5827A69B3A}"/>
  </hyperlink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ABC9C"/>
  </sheetPr>
  <dimension ref="A2:J22"/>
  <sheetViews>
    <sheetView showGridLines="0" topLeftCell="A7" zoomScaleNormal="100" workbookViewId="0">
      <selection activeCell="G15" sqref="G15"/>
    </sheetView>
  </sheetViews>
  <sheetFormatPr defaultColWidth="8.7109375" defaultRowHeight="15"/>
  <cols>
    <col min="1" max="1" width="16" customWidth="1"/>
    <col min="2" max="2" width="22" customWidth="1"/>
    <col min="3" max="3" width="12" customWidth="1"/>
    <col min="4" max="4" width="16.42578125" customWidth="1"/>
    <col min="5" max="5" width="22.7109375" customWidth="1"/>
  </cols>
  <sheetData>
    <row r="2" spans="1:10" ht="39.75" customHeight="1">
      <c r="A2" s="116" t="s">
        <v>539</v>
      </c>
      <c r="B2" s="117"/>
      <c r="C2" s="117"/>
      <c r="D2" s="117"/>
      <c r="E2" s="117"/>
      <c r="F2" s="117"/>
      <c r="G2" s="117"/>
      <c r="H2" s="117"/>
      <c r="I2" s="117"/>
      <c r="J2" s="117"/>
    </row>
    <row r="3" spans="1:10" ht="19.5" customHeight="1">
      <c r="A3" s="97" t="s">
        <v>540</v>
      </c>
      <c r="B3" s="117"/>
      <c r="C3" s="117"/>
      <c r="D3" s="117"/>
      <c r="E3" s="117"/>
      <c r="F3" s="117"/>
      <c r="G3" s="117"/>
      <c r="H3" s="117"/>
      <c r="I3" s="117"/>
      <c r="J3" s="117"/>
    </row>
    <row r="5" spans="1:10" ht="21.75" customHeight="1">
      <c r="A5" s="115" t="s">
        <v>541</v>
      </c>
      <c r="B5" s="117"/>
      <c r="C5" s="117"/>
      <c r="D5" s="117"/>
      <c r="E5" s="117"/>
      <c r="F5" s="117"/>
    </row>
    <row r="6" spans="1:10" ht="15" customHeight="1">
      <c r="A6" s="11" t="s">
        <v>542</v>
      </c>
      <c r="B6" s="11" t="s">
        <v>543</v>
      </c>
      <c r="C6" s="11" t="s">
        <v>544</v>
      </c>
      <c r="D6" s="11" t="s">
        <v>545</v>
      </c>
      <c r="E6" s="11" t="s">
        <v>546</v>
      </c>
    </row>
    <row r="7" spans="1:10" ht="19.5" customHeight="1">
      <c r="A7" s="38" t="s">
        <v>138</v>
      </c>
      <c r="B7" s="39">
        <f>COUNTIF('🔥 Active Pipeline'!E5:E301,"Identified")</f>
        <v>7</v>
      </c>
      <c r="C7" s="40">
        <f>SUMIF('🔥 Active Pipeline'!E5:E301,"Identified",'🔥 Active Pipeline'!G5:G301)</f>
        <v>50000</v>
      </c>
      <c r="D7" s="40">
        <f>C7*0.05</f>
        <v>2500</v>
      </c>
      <c r="E7" s="41">
        <f t="shared" ref="E7:E14" si="0">IFERROR(B7/SUM($B$7:$B$14),0)</f>
        <v>0.31818181818181818</v>
      </c>
    </row>
    <row r="8" spans="1:10" ht="19.5" customHeight="1">
      <c r="A8" s="42" t="s">
        <v>92</v>
      </c>
      <c r="B8" s="43">
        <f>COUNTIF('🔥 Active Pipeline'!E5:E301,"Outreach Initiated")</f>
        <v>7</v>
      </c>
      <c r="C8" s="44">
        <f>SUMIF('🔥 Active Pipeline'!E5:E301,"Outreach Initiated",'🔥 Active Pipeline'!G5:G301)</f>
        <v>0</v>
      </c>
      <c r="D8" s="44">
        <f>C8*0.15</f>
        <v>0</v>
      </c>
      <c r="E8" s="45">
        <f t="shared" si="0"/>
        <v>0.31818181818181818</v>
      </c>
    </row>
    <row r="9" spans="1:10" ht="19.5" customHeight="1">
      <c r="A9" s="46" t="s">
        <v>64</v>
      </c>
      <c r="B9" s="47">
        <f>COUNTIF('🔥 Active Pipeline'!E5:E301,"Meeting Booked")</f>
        <v>6</v>
      </c>
      <c r="C9" s="48">
        <f>SUMIF('🔥 Active Pipeline'!E5:E301,"Meeting Booked",'🔥 Active Pipeline'!G5:G301)</f>
        <v>250000</v>
      </c>
      <c r="D9" s="48">
        <f>C9*0.3</f>
        <v>75000</v>
      </c>
      <c r="E9" s="49">
        <f t="shared" si="0"/>
        <v>0.27272727272727271</v>
      </c>
    </row>
    <row r="10" spans="1:10" ht="19.5" customHeight="1">
      <c r="A10" s="50" t="s">
        <v>189</v>
      </c>
      <c r="B10" s="51">
        <f>COUNTIF('🔥 Active Pipeline'!E5:E301,"Discovery Complete")</f>
        <v>1</v>
      </c>
      <c r="C10" s="52">
        <f>SUMIF('🔥 Active Pipeline'!E5:E301,"Discovery Complete",'🔥 Active Pipeline'!G5:G301)</f>
        <v>0</v>
      </c>
      <c r="D10" s="52">
        <f>C10*0.45</f>
        <v>0</v>
      </c>
      <c r="E10" s="53">
        <f t="shared" si="0"/>
        <v>4.5454545454545456E-2</v>
      </c>
    </row>
    <row r="11" spans="1:10" ht="19.5" customHeight="1">
      <c r="A11" s="54" t="s">
        <v>547</v>
      </c>
      <c r="B11" s="55">
        <f>COUNTIF('🔥 Active Pipeline'!E5:E301,"Proposal Sent")</f>
        <v>0</v>
      </c>
      <c r="C11" s="56">
        <f>SUMIF('🔥 Active Pipeline'!E5:E301,"Proposal Sent",'🔥 Active Pipeline'!G5:G301)</f>
        <v>0</v>
      </c>
      <c r="D11" s="56">
        <f>C11*0.6</f>
        <v>0</v>
      </c>
      <c r="E11" s="57">
        <f t="shared" si="0"/>
        <v>0</v>
      </c>
    </row>
    <row r="12" spans="1:10" ht="19.5" customHeight="1">
      <c r="A12" s="58" t="s">
        <v>47</v>
      </c>
      <c r="B12" s="59">
        <f>COUNTIF('🔥 Active Pipeline'!E5:E301,"Negotiating")</f>
        <v>0</v>
      </c>
      <c r="C12" s="60">
        <f>SUMIF('🔥 Active Pipeline'!E5:E301,"Negotiating",'🔥 Active Pipeline'!G5:G301)</f>
        <v>0</v>
      </c>
      <c r="D12" s="60">
        <f>C12*0.75</f>
        <v>0</v>
      </c>
      <c r="E12" s="61">
        <f t="shared" si="0"/>
        <v>0</v>
      </c>
    </row>
    <row r="13" spans="1:10" ht="19.5" customHeight="1">
      <c r="A13" s="62" t="s">
        <v>548</v>
      </c>
      <c r="B13" s="63">
        <f>COUNTIF('🔥 Active Pipeline'!E5:E301,"Closed Won")</f>
        <v>0</v>
      </c>
      <c r="C13" s="64">
        <f>SUMIF('🔥 Active Pipeline'!E5:E301,"Closed Won",'🔥 Active Pipeline'!G5:G301)</f>
        <v>0</v>
      </c>
      <c r="D13" s="64">
        <f>C13*1</f>
        <v>0</v>
      </c>
      <c r="E13" s="65">
        <f t="shared" si="0"/>
        <v>0</v>
      </c>
    </row>
    <row r="14" spans="1:10" ht="19.5" customHeight="1">
      <c r="A14" s="66" t="s">
        <v>79</v>
      </c>
      <c r="B14" s="67">
        <f>COUNTIF('🔥 Active Pipeline'!E5:E301,"Closed Lost")</f>
        <v>1</v>
      </c>
      <c r="C14" s="68">
        <f>SUMIF('🔥 Active Pipeline'!E5:E301,"Closed Lost",'🔥 Active Pipeline'!G5:G301)</f>
        <v>0</v>
      </c>
      <c r="D14" s="68">
        <f>C14*0</f>
        <v>0</v>
      </c>
      <c r="E14" s="69">
        <f t="shared" si="0"/>
        <v>4.5454545454545456E-2</v>
      </c>
    </row>
    <row r="15" spans="1:10" ht="21.75" customHeight="1">
      <c r="A15" s="70" t="s">
        <v>549</v>
      </c>
      <c r="B15" s="71">
        <f>SUM(B7:B14)</f>
        <v>22</v>
      </c>
      <c r="C15" s="72">
        <f>SUM(C7:C14)</f>
        <v>300000</v>
      </c>
      <c r="D15" s="72">
        <f>SUM(D7:D14)</f>
        <v>77500</v>
      </c>
      <c r="E15" s="71"/>
    </row>
    <row r="17" spans="1:5" ht="21.75" customHeight="1">
      <c r="A17" s="115" t="s">
        <v>550</v>
      </c>
      <c r="B17" s="117"/>
      <c r="C17" s="117"/>
      <c r="D17" s="117"/>
      <c r="E17" s="117"/>
    </row>
    <row r="18" spans="1:5" ht="15" customHeight="1">
      <c r="A18" s="11" t="s">
        <v>28</v>
      </c>
      <c r="B18" s="11" t="s">
        <v>551</v>
      </c>
      <c r="C18" s="11" t="s">
        <v>552</v>
      </c>
      <c r="D18" s="11" t="s">
        <v>553</v>
      </c>
      <c r="E18" s="11" t="s">
        <v>46</v>
      </c>
    </row>
    <row r="19" spans="1:5" ht="21.75" customHeight="1">
      <c r="A19" s="22" t="s">
        <v>66</v>
      </c>
      <c r="B19" s="73" t="s">
        <v>554</v>
      </c>
      <c r="C19" s="74">
        <f>COUNTIF('🔥 Active Pipeline'!H5:H301,"*VS*")</f>
        <v>13</v>
      </c>
      <c r="D19" s="74">
        <f>COUNTIFS('🔥 Active Pipeline'!H5:H301,"*VS*",'🔥 Active Pipeline'!Q5:Q301,"🔴 High")</f>
        <v>4</v>
      </c>
      <c r="E19" s="74">
        <f>COUNTIFS('🔥 Active Pipeline'!H5:H301,"*VS*",'🔥 Active Pipeline'!E5:E301,"Meeting Booked")</f>
        <v>3</v>
      </c>
    </row>
    <row r="20" spans="1:5" ht="21.75" customHeight="1">
      <c r="A20" s="22" t="s">
        <v>167</v>
      </c>
      <c r="B20" s="75" t="s">
        <v>555</v>
      </c>
      <c r="C20" s="76">
        <f>COUNTIF('🔥 Active Pipeline'!H5:H301,"*BK*")</f>
        <v>11</v>
      </c>
      <c r="D20" s="76">
        <f>COUNTIFS('🔥 Active Pipeline'!H5:H301,"*BK*",'🔥 Active Pipeline'!Q5:Q301,"🔴 High")</f>
        <v>4</v>
      </c>
      <c r="E20" s="76">
        <f>COUNTIFS('🔥 Active Pipeline'!H5:H301,"*BK*",'🔥 Active Pipeline'!E5:E301,"Meeting Booked")</f>
        <v>3</v>
      </c>
    </row>
    <row r="21" spans="1:5" ht="21.75" customHeight="1">
      <c r="A21" s="22" t="s">
        <v>556</v>
      </c>
      <c r="B21" s="73" t="s">
        <v>557</v>
      </c>
      <c r="C21" s="74">
        <f>COUNTIF('🔥 Active Pipeline'!H5:H301,"*SJ*")</f>
        <v>8</v>
      </c>
      <c r="D21" s="74">
        <f>COUNTIFS('🔥 Active Pipeline'!H5:H301,"*SJ*",'🔥 Active Pipeline'!Q5:Q301,"🔴 High")</f>
        <v>3</v>
      </c>
      <c r="E21" s="74">
        <f>COUNTIFS('🔥 Active Pipeline'!H5:H301,"*SJ*",'🔥 Active Pipeline'!E5:E301,"Meeting Booked")</f>
        <v>2</v>
      </c>
    </row>
    <row r="22" spans="1:5" ht="21.75" customHeight="1">
      <c r="A22" s="22" t="s">
        <v>81</v>
      </c>
      <c r="B22" s="75" t="s">
        <v>558</v>
      </c>
      <c r="C22" s="76">
        <f>COUNTIF('🔥 Active Pipeline'!H5:H301,"*RS*")</f>
        <v>1</v>
      </c>
      <c r="D22" s="76">
        <f>COUNTIFS('🔥 Active Pipeline'!H5:H301,"*RS*",'🔥 Active Pipeline'!Q5:Q301,"🔴 High")</f>
        <v>1</v>
      </c>
      <c r="E22" s="76">
        <f>COUNTIFS('🔥 Active Pipeline'!H5:H301,"*RS*",'🔥 Active Pipeline'!E5:E301,"Meeting Booked")</f>
        <v>0</v>
      </c>
    </row>
  </sheetData>
  <mergeCells count="4">
    <mergeCell ref="A17:E17"/>
    <mergeCell ref="A5:F5"/>
    <mergeCell ref="A3:J3"/>
    <mergeCell ref="A2:J2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5D6D7E"/>
  </sheetPr>
  <dimension ref="A2:B35"/>
  <sheetViews>
    <sheetView showGridLines="0" topLeftCell="A24" zoomScaleNormal="100" workbookViewId="0">
      <selection activeCell="B21" sqref="B21"/>
    </sheetView>
  </sheetViews>
  <sheetFormatPr defaultColWidth="8.7109375" defaultRowHeight="15"/>
  <cols>
    <col min="1" max="1" width="24" customWidth="1"/>
    <col min="2" max="2" width="60" customWidth="1"/>
  </cols>
  <sheetData>
    <row r="2" spans="1:2" ht="16.5">
      <c r="A2" s="83" t="s">
        <v>559</v>
      </c>
      <c r="B2" s="117"/>
    </row>
    <row r="3" spans="1:2" ht="21.75" customHeight="1">
      <c r="A3" s="115" t="s">
        <v>560</v>
      </c>
      <c r="B3" s="117"/>
    </row>
    <row r="4" spans="1:2" ht="32.25" customHeight="1">
      <c r="A4" s="18" t="s">
        <v>561</v>
      </c>
      <c r="B4" s="77" t="s">
        <v>562</v>
      </c>
    </row>
    <row r="5" spans="1:2" ht="36.75" customHeight="1">
      <c r="A5" s="78" t="s">
        <v>563</v>
      </c>
      <c r="B5" s="27" t="s">
        <v>564</v>
      </c>
    </row>
    <row r="6" spans="1:2" ht="36" customHeight="1">
      <c r="A6" s="18" t="s">
        <v>565</v>
      </c>
      <c r="B6" s="77" t="s">
        <v>566</v>
      </c>
    </row>
    <row r="7" spans="1:2" ht="34.5" customHeight="1">
      <c r="A7" s="78" t="s">
        <v>567</v>
      </c>
      <c r="B7" s="27" t="s">
        <v>568</v>
      </c>
    </row>
    <row r="8" spans="1:2" ht="21.75" customHeight="1"/>
    <row r="9" spans="1:2" ht="21.75" customHeight="1">
      <c r="A9" s="115" t="s">
        <v>569</v>
      </c>
      <c r="B9" s="117"/>
    </row>
    <row r="10" spans="1:2" ht="21.75" customHeight="1"/>
    <row r="11" spans="1:2" ht="21.75" customHeight="1">
      <c r="A11" s="115" t="s">
        <v>570</v>
      </c>
      <c r="B11" s="117"/>
    </row>
    <row r="12" spans="1:2" ht="21.75" customHeight="1">
      <c r="A12" s="18" t="s">
        <v>571</v>
      </c>
      <c r="B12" s="77" t="s">
        <v>572</v>
      </c>
    </row>
    <row r="13" spans="1:2" ht="21.75" customHeight="1">
      <c r="A13" s="78" t="s">
        <v>573</v>
      </c>
      <c r="B13" s="27" t="s">
        <v>574</v>
      </c>
    </row>
    <row r="14" spans="1:2" ht="21.75" customHeight="1">
      <c r="A14" s="18" t="s">
        <v>575</v>
      </c>
      <c r="B14" s="77" t="s">
        <v>576</v>
      </c>
    </row>
    <row r="15" spans="1:2" ht="21.75" customHeight="1">
      <c r="A15" s="78" t="s">
        <v>577</v>
      </c>
      <c r="B15" s="27" t="s">
        <v>578</v>
      </c>
    </row>
    <row r="16" spans="1:2" ht="21.75" customHeight="1">
      <c r="A16" s="18" t="s">
        <v>579</v>
      </c>
      <c r="B16" s="77" t="s">
        <v>580</v>
      </c>
    </row>
    <row r="17" spans="1:2" ht="21.75" customHeight="1"/>
    <row r="18" spans="1:2" ht="21.75" customHeight="1">
      <c r="A18" s="115" t="s">
        <v>581</v>
      </c>
      <c r="B18" s="117"/>
    </row>
    <row r="19" spans="1:2" ht="79.5" customHeight="1">
      <c r="A19" s="79" t="s">
        <v>582</v>
      </c>
      <c r="B19" s="80" t="s">
        <v>583</v>
      </c>
    </row>
    <row r="20" spans="1:2" ht="21.75" customHeight="1"/>
    <row r="21" spans="1:2" ht="79.5" customHeight="1">
      <c r="A21" s="79" t="s">
        <v>584</v>
      </c>
      <c r="B21" s="80" t="s">
        <v>585</v>
      </c>
    </row>
    <row r="22" spans="1:2" ht="21.75" customHeight="1"/>
    <row r="23" spans="1:2" ht="79.5" customHeight="1">
      <c r="A23" s="79" t="s">
        <v>586</v>
      </c>
      <c r="B23" s="80" t="s">
        <v>587</v>
      </c>
    </row>
    <row r="24" spans="1:2" ht="21.75" customHeight="1"/>
    <row r="25" spans="1:2" ht="79.5" customHeight="1">
      <c r="A25" s="79" t="s">
        <v>588</v>
      </c>
      <c r="B25" s="80" t="s">
        <v>589</v>
      </c>
    </row>
    <row r="26" spans="1:2" ht="21.75" customHeight="1"/>
    <row r="27" spans="1:2" ht="21.75" customHeight="1">
      <c r="A27" s="115" t="s">
        <v>590</v>
      </c>
      <c r="B27" s="117"/>
    </row>
    <row r="28" spans="1:2" ht="21.75" customHeight="1">
      <c r="A28" s="18" t="s">
        <v>138</v>
      </c>
      <c r="B28" s="77" t="s">
        <v>591</v>
      </c>
    </row>
    <row r="29" spans="1:2" ht="21.75" customHeight="1">
      <c r="A29" s="78" t="s">
        <v>92</v>
      </c>
      <c r="B29" s="27" t="s">
        <v>592</v>
      </c>
    </row>
    <row r="30" spans="1:2" ht="21.75" customHeight="1">
      <c r="A30" s="18" t="s">
        <v>64</v>
      </c>
      <c r="B30" s="77" t="s">
        <v>593</v>
      </c>
    </row>
    <row r="31" spans="1:2" ht="21.75" customHeight="1">
      <c r="A31" s="78" t="s">
        <v>189</v>
      </c>
      <c r="B31" s="27" t="s">
        <v>594</v>
      </c>
    </row>
    <row r="32" spans="1:2" ht="21.75" customHeight="1">
      <c r="A32" s="18" t="s">
        <v>547</v>
      </c>
      <c r="B32" s="77" t="s">
        <v>595</v>
      </c>
    </row>
    <row r="33" spans="1:2" ht="21.75" customHeight="1">
      <c r="A33" s="78" t="s">
        <v>47</v>
      </c>
      <c r="B33" s="27" t="s">
        <v>596</v>
      </c>
    </row>
    <row r="34" spans="1:2" ht="21.75" customHeight="1">
      <c r="A34" s="18" t="s">
        <v>548</v>
      </c>
      <c r="B34" s="77" t="s">
        <v>597</v>
      </c>
    </row>
    <row r="35" spans="1:2" ht="21.75" customHeight="1">
      <c r="A35" s="78" t="s">
        <v>79</v>
      </c>
      <c r="B35" s="27" t="s">
        <v>598</v>
      </c>
    </row>
  </sheetData>
  <mergeCells count="6">
    <mergeCell ref="A2:B2"/>
    <mergeCell ref="A11:B11"/>
    <mergeCell ref="A9:B9"/>
    <mergeCell ref="A18:B18"/>
    <mergeCell ref="A27:B27"/>
    <mergeCell ref="A3:B3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Kumar</cp:lastModifiedBy>
  <cp:revision>0</cp:revision>
  <dcterms:created xsi:type="dcterms:W3CDTF">2026-03-11T01:43:16Z</dcterms:created>
  <dcterms:modified xsi:type="dcterms:W3CDTF">2026-05-12T01:34:47Z</dcterms:modified>
  <cp:category/>
  <cp:contentStatus/>
</cp:coreProperties>
</file>